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033562\AppData\Roaming\cBrain\F2\Temp\4742799\"/>
    </mc:Choice>
  </mc:AlternateContent>
  <bookViews>
    <workbookView xWindow="-120" yWindow="-120" windowWidth="29040" windowHeight="15840"/>
  </bookViews>
  <sheets>
    <sheet name="Forside" sheetId="12" r:id="rId1"/>
    <sheet name="Indsatsen" sheetId="7" r:id="rId2"/>
    <sheet name="Genrelle antagelser" sheetId="6" r:id="rId3"/>
    <sheet name="Input" sheetId="8" r:id="rId4"/>
    <sheet name="Resultater" sheetId="9"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 i="6" l="1"/>
  <c r="W12" i="9"/>
  <c r="T12" i="9"/>
  <c r="Q12" i="9"/>
  <c r="O12" i="9"/>
  <c r="M12" i="9"/>
  <c r="J12" i="9"/>
  <c r="D29" i="6"/>
  <c r="D25" i="6"/>
  <c r="D21" i="6"/>
  <c r="D17" i="6"/>
  <c r="D13" i="6"/>
  <c r="F80" i="8" l="1"/>
  <c r="F79" i="8"/>
  <c r="F47" i="8"/>
  <c r="E47" i="8"/>
  <c r="F46" i="8"/>
  <c r="E46" i="8"/>
  <c r="F44" i="8"/>
  <c r="E44" i="8"/>
  <c r="F43" i="8"/>
  <c r="E43" i="8"/>
  <c r="D12" i="7" l="1"/>
  <c r="F119" i="8" l="1"/>
  <c r="J110" i="8"/>
  <c r="I110" i="8"/>
  <c r="H110" i="8"/>
  <c r="F110" i="8"/>
  <c r="G126" i="8"/>
  <c r="F126" i="8"/>
  <c r="H126" i="8"/>
  <c r="I126" i="8"/>
  <c r="J126" i="8"/>
  <c r="E126" i="8"/>
  <c r="D12" i="8"/>
  <c r="D8" i="8"/>
  <c r="D9" i="8" l="1"/>
  <c r="D30" i="6" l="1"/>
  <c r="D26" i="6"/>
  <c r="D27" i="6" s="1"/>
  <c r="D22" i="6"/>
  <c r="D23" i="6" s="1"/>
  <c r="D18" i="6"/>
  <c r="D14" i="6"/>
  <c r="D15" i="6" s="1"/>
  <c r="D9" i="6"/>
  <c r="I7" i="9" l="1"/>
  <c r="N12" i="9"/>
  <c r="P12" i="9"/>
  <c r="S12" i="9"/>
  <c r="U12" i="9"/>
  <c r="Y12" i="9"/>
  <c r="K12" i="9" l="1"/>
  <c r="L12" i="9" s="1"/>
  <c r="V12" i="9"/>
  <c r="X12" i="9"/>
  <c r="R12" i="9"/>
  <c r="D12" i="9" l="1"/>
  <c r="E12" i="9" l="1"/>
  <c r="F12" i="9" s="1"/>
  <c r="D19" i="6"/>
  <c r="I6" i="9" l="1"/>
  <c r="I8" i="9" s="1"/>
  <c r="G12" i="9"/>
  <c r="J109" i="8"/>
  <c r="I109" i="8"/>
  <c r="F109" i="8"/>
  <c r="J92" i="8"/>
  <c r="I92" i="8"/>
  <c r="H92" i="8"/>
  <c r="G92" i="8"/>
  <c r="F92" i="8"/>
  <c r="J91" i="8"/>
  <c r="I91" i="8"/>
  <c r="H91" i="8"/>
  <c r="G91" i="8"/>
  <c r="F91" i="8"/>
  <c r="E91" i="8"/>
  <c r="J74" i="8"/>
  <c r="I74" i="8"/>
  <c r="G74" i="8"/>
  <c r="F74" i="8"/>
  <c r="J73" i="8"/>
  <c r="I73" i="8"/>
  <c r="G73" i="8"/>
  <c r="F73" i="8"/>
  <c r="J56" i="8"/>
  <c r="I56" i="8"/>
  <c r="J55" i="8"/>
  <c r="I55" i="8"/>
  <c r="F55" i="8"/>
  <c r="J38" i="8"/>
  <c r="I38" i="8"/>
  <c r="F38" i="8"/>
  <c r="J37" i="8"/>
  <c r="I37" i="8"/>
  <c r="H37" i="8"/>
  <c r="F37" i="8"/>
  <c r="I14" i="9" l="1"/>
  <c r="D31" i="6"/>
  <c r="J11" i="9" l="1"/>
  <c r="J10" i="9"/>
  <c r="O11" i="9"/>
  <c r="Q11" i="9"/>
  <c r="M11" i="9"/>
  <c r="N11" i="9" s="1"/>
  <c r="W10" i="9"/>
  <c r="W11" i="9"/>
  <c r="T10" i="9"/>
  <c r="M10" i="9"/>
  <c r="T11" i="9"/>
  <c r="Q10" i="9"/>
  <c r="O10" i="9"/>
  <c r="P11" i="9"/>
  <c r="K11" i="9" l="1"/>
  <c r="L11" i="9" s="1"/>
  <c r="U11" i="9"/>
  <c r="V11" i="9"/>
  <c r="S11" i="9"/>
  <c r="R11" i="9"/>
  <c r="Y11" i="9"/>
  <c r="X11" i="9"/>
  <c r="D11" i="9" l="1"/>
  <c r="K10" i="9"/>
  <c r="J13" i="9"/>
  <c r="J14" i="9" s="1"/>
  <c r="W13" i="9"/>
  <c r="W14" i="9" s="1"/>
  <c r="Y10" i="9"/>
  <c r="Y13" i="9" s="1"/>
  <c r="Y14" i="9" s="1"/>
  <c r="X10" i="9"/>
  <c r="X13" i="9" s="1"/>
  <c r="X14" i="9" s="1"/>
  <c r="O13" i="9"/>
  <c r="O14" i="9" s="1"/>
  <c r="P10" i="9"/>
  <c r="P13" i="9" s="1"/>
  <c r="P14" i="9" s="1"/>
  <c r="Q13" i="9"/>
  <c r="Q14" i="9" s="1"/>
  <c r="R10" i="9"/>
  <c r="R13" i="9" s="1"/>
  <c r="R14" i="9" s="1"/>
  <c r="S10" i="9"/>
  <c r="S13" i="9" s="1"/>
  <c r="S14" i="9" s="1"/>
  <c r="V10" i="9"/>
  <c r="V13" i="9" s="1"/>
  <c r="V14" i="9" s="1"/>
  <c r="T13" i="9"/>
  <c r="T14" i="9" s="1"/>
  <c r="U10" i="9"/>
  <c r="U13" i="9" s="1"/>
  <c r="U14" i="9" s="1"/>
  <c r="M13" i="9"/>
  <c r="M14" i="9" s="1"/>
  <c r="N10" i="9"/>
  <c r="N13" i="9" s="1"/>
  <c r="N14" i="9" s="1"/>
  <c r="E11" i="9" l="1"/>
  <c r="F11" i="9" s="1"/>
  <c r="K13" i="9"/>
  <c r="K14" i="9" s="1"/>
  <c r="L10" i="9"/>
  <c r="D10" i="9" s="1"/>
  <c r="E10" i="9" l="1"/>
  <c r="F10" i="9" s="1"/>
  <c r="G11" i="9"/>
  <c r="D13" i="9"/>
  <c r="L13" i="9"/>
  <c r="L14" i="9" s="1"/>
  <c r="E13" i="9" l="1"/>
  <c r="E14" i="9" s="1"/>
  <c r="G10" i="9"/>
  <c r="D14" i="9"/>
  <c r="F13" i="9"/>
  <c r="G13" i="9" l="1"/>
  <c r="F14" i="9"/>
  <c r="G14" i="9" s="1"/>
  <c r="H14" i="9" l="1"/>
  <c r="H12" i="9"/>
  <c r="H11" i="9"/>
  <c r="H10" i="9"/>
  <c r="H13" i="9"/>
</calcChain>
</file>

<file path=xl/sharedStrings.xml><?xml version="1.0" encoding="utf-8"?>
<sst xmlns="http://schemas.openxmlformats.org/spreadsheetml/2006/main" count="668" uniqueCount="133">
  <si>
    <t>Enhed</t>
  </si>
  <si>
    <t>Mar.</t>
  </si>
  <si>
    <t>Apr.</t>
  </si>
  <si>
    <t>Maj</t>
  </si>
  <si>
    <t>Jun.</t>
  </si>
  <si>
    <t>Jul.</t>
  </si>
  <si>
    <t>Aug.</t>
  </si>
  <si>
    <t>Sep.</t>
  </si>
  <si>
    <t>Okt.</t>
  </si>
  <si>
    <t>Nov.</t>
  </si>
  <si>
    <t>Dec.</t>
  </si>
  <si>
    <t>Jan.</t>
  </si>
  <si>
    <t>Feb.</t>
  </si>
  <si>
    <t>Øvrige udgifter</t>
  </si>
  <si>
    <t>Transport</t>
  </si>
  <si>
    <t>enhed</t>
  </si>
  <si>
    <t>Bemærk/Kilde</t>
  </si>
  <si>
    <t>kr./mdr.</t>
  </si>
  <si>
    <t>kr./time</t>
  </si>
  <si>
    <t>timer</t>
  </si>
  <si>
    <t>-</t>
  </si>
  <si>
    <t>kr</t>
  </si>
  <si>
    <t>Driftsomkostninger</t>
  </si>
  <si>
    <t>Driftsomkostninger i alt</t>
  </si>
  <si>
    <t>RESULTATER</t>
  </si>
  <si>
    <t>BAGGRUND</t>
  </si>
  <si>
    <t>UDDANNELSE</t>
  </si>
  <si>
    <t>kr.</t>
  </si>
  <si>
    <t>Skema</t>
  </si>
  <si>
    <t>Ledere</t>
  </si>
  <si>
    <t>ØVRIGE UDGIFTER</t>
  </si>
  <si>
    <t>I alt</t>
  </si>
  <si>
    <t>UDDANNELSESOMKOSTNINGER</t>
  </si>
  <si>
    <t>Gns. løn</t>
  </si>
  <si>
    <t>Gns. timeløn inkl. overhead</t>
  </si>
  <si>
    <t>Gns. timeløn</t>
  </si>
  <si>
    <t>Gns. pr. år</t>
  </si>
  <si>
    <t>Gns. pr. måned</t>
  </si>
  <si>
    <t>.</t>
  </si>
  <si>
    <t>Familie i fasen</t>
  </si>
  <si>
    <t>Ja</t>
  </si>
  <si>
    <t>Nej</t>
  </si>
  <si>
    <t>FASE 1. Opsporing og henvisning</t>
  </si>
  <si>
    <t>FASE 2. Spædbarnsindsats før fødsel</t>
  </si>
  <si>
    <t>FASE 3. Fødsel og barselsophold</t>
  </si>
  <si>
    <t>Møder/aktiviteter med borgerne</t>
  </si>
  <si>
    <t>Professionelle møder uden borgeren</t>
  </si>
  <si>
    <t>Sundhedsplejerske</t>
  </si>
  <si>
    <t>Ergoterapeut</t>
  </si>
  <si>
    <t>Pædagog</t>
  </si>
  <si>
    <t>Socialrådgiver</t>
  </si>
  <si>
    <t>FASE 5. Støttende indsats</t>
  </si>
  <si>
    <t>FASE 4. Intensiv indsats efter fødsel</t>
  </si>
  <si>
    <t>FASE 6. Udfasning og overgang</t>
  </si>
  <si>
    <t>Vagttelefon</t>
  </si>
  <si>
    <t xml:space="preserve"> </t>
  </si>
  <si>
    <t>Uddannelse af behandlere</t>
  </si>
  <si>
    <t>INPUT</t>
  </si>
  <si>
    <t>pct.</t>
  </si>
  <si>
    <t>Prisniveau</t>
  </si>
  <si>
    <t>årstal</t>
  </si>
  <si>
    <t>Medarbejdere til gennemførelse af indsats</t>
  </si>
  <si>
    <t>Overhead på lønomkostninger</t>
  </si>
  <si>
    <t>Antagelser</t>
  </si>
  <si>
    <t>Effektiv årsnorm</t>
  </si>
  <si>
    <t>timer/år</t>
  </si>
  <si>
    <t>Lønninger</t>
  </si>
  <si>
    <t>Ovenstående lønomkostninger fra krl.dk indeholder grundløn, diverse tillæg, særydelser, feriepenge og overarbejde</t>
  </si>
  <si>
    <t>Kommunernes og Regionernes Løndatakontor (KRL)</t>
  </si>
  <si>
    <t>Ledere, socialrådgivere. Kommunernes og Regionernes Løndatakontor (KRL)</t>
  </si>
  <si>
    <t>Den Socialøkonomiske Investeringsmodel (SØM), Socialstyrelsen</t>
  </si>
  <si>
    <t>Leder</t>
  </si>
  <si>
    <t>Aktiviteter med familier</t>
  </si>
  <si>
    <t>Aktiviteter uden familier</t>
  </si>
  <si>
    <t>Emotional Mentalixing Scale</t>
  </si>
  <si>
    <t>Kursuspris</t>
  </si>
  <si>
    <t>Uddannelsestid</t>
  </si>
  <si>
    <t>kr./medarbj.</t>
  </si>
  <si>
    <t>timer/medarbj.</t>
  </si>
  <si>
    <t>Småbørnskonsulentuddannelse</t>
  </si>
  <si>
    <t>Antal behandlere i alt</t>
  </si>
  <si>
    <t>1. juni 2018 til 30. september 2019</t>
  </si>
  <si>
    <t>Bemærk, det antages at det er 1 socialrådgiver/ergoterapeut + 1 pædagog + 2 sundhedsplejersker der har fået uddannelse</t>
  </si>
  <si>
    <t>Udd.</t>
  </si>
  <si>
    <t xml:space="preserve">Bemærk EMS kostede 52000 kr., hvor 9 medarbejdere deltog. </t>
  </si>
  <si>
    <t xml:space="preserve">kr. </t>
  </si>
  <si>
    <t xml:space="preserve">Supervision </t>
  </si>
  <si>
    <t xml:space="preserve">Bemærk: Supervision er en ekstern konsulent i 2,5 time 6 gange om året til en timepris på 2.695 kr./time. </t>
  </si>
  <si>
    <t>Derudover har alle behandlerne deltaget i supervisionen, hvilket er 3 timer 6 gange om året (dvs. 1,5 time om måneden), dette er lagt ind i timerne under 'udfasning og overgang'</t>
  </si>
  <si>
    <t>nej</t>
  </si>
  <si>
    <t>start</t>
  </si>
  <si>
    <t>slut</t>
  </si>
  <si>
    <t>måneder</t>
  </si>
  <si>
    <t>Gens. pr. familie pr. måned</t>
  </si>
  <si>
    <t xml:space="preserve">pct. </t>
  </si>
  <si>
    <t xml:space="preserve">Gns. pr. familie </t>
  </si>
  <si>
    <t>FØLSOMHEDSANALYSE</t>
  </si>
  <si>
    <t>Løn</t>
  </si>
  <si>
    <t>-20 pct</t>
  </si>
  <si>
    <t xml:space="preserve">gens. </t>
  </si>
  <si>
    <t>+20 pct.</t>
  </si>
  <si>
    <t>Familier</t>
  </si>
  <si>
    <t>7 familier pr. år</t>
  </si>
  <si>
    <t>12 familier pr. år</t>
  </si>
  <si>
    <t>10 familier pr. år</t>
  </si>
  <si>
    <t>+10 pct.</t>
  </si>
  <si>
    <t>Udarbejdet af Rambøll Management Consulting</t>
  </si>
  <si>
    <t>Efteråret 2019</t>
  </si>
  <si>
    <t>Udarbejdet i forbindelse med projektet 'Dokumentation af Lovende social praksis' for Socialstyrelsen</t>
  </si>
  <si>
    <t>OMKOSTNINGSVURDERING AF DEN INTENSIVE SPÆDEINDSATS I HOLSTEBRO KOMMUNE</t>
  </si>
  <si>
    <t>Omkostningsvurdering af den intensive spædeindsats i Holstebro Kommune</t>
  </si>
  <si>
    <t>BESKRIVELSE AF INDSATSEN</t>
  </si>
  <si>
    <t xml:space="preserve">BESKRIVELSE </t>
  </si>
  <si>
    <t>Indsamlingsperiode omregnet til samlet antal måneder</t>
  </si>
  <si>
    <t>bemærk</t>
  </si>
  <si>
    <t>Bemærk der har været enkelte brud i dataindsamlingen, hvorfor antallet af måneder ikke svarer til den samlede indsamlingsperiode</t>
  </si>
  <si>
    <t>FAKTISK ANTAL FAMILIER I INDSATSEN I HOLSTEBRO KOMMUNE</t>
  </si>
  <si>
    <t>Familier oprettet indsatsen i indsamlingsperioden</t>
  </si>
  <si>
    <t>Gns. antal familier pr. år i indsamlingsperioden</t>
  </si>
  <si>
    <t>FAKTSIK ANTAL MÅNEDER DE ENKELTE FAMILIER DELTOG</t>
  </si>
  <si>
    <t>Samlet antal måneder for familierne</t>
  </si>
  <si>
    <t>Gennemsnitlig antal måneder for én familie</t>
  </si>
  <si>
    <t>DET FAKTISKE ANTAL MEDARBEJDERE/BEHANDLERE</t>
  </si>
  <si>
    <t>De gennemsnitlige årlige driftsomkostninger fordelt på aktiviteter med og uden familier (pct.)</t>
  </si>
  <si>
    <t>Uddannelsesomkosninger</t>
  </si>
  <si>
    <t>Uddannelsesomkostninger i alt</t>
  </si>
  <si>
    <t xml:space="preserve">Gennemsnitlig antal familier i indsatsen </t>
  </si>
  <si>
    <t>antal/år</t>
  </si>
  <si>
    <t xml:space="preserve">Den intensive spædeindsats er udviklet i Holstebro Kommune til gravide og nybagte forældre, hvor der er en betydelig bekymring for, om forældrene vil kunne tage vare på barnet. Indsatsen er organiseret som et ambulant støttetilbud, der ledes af familiecentret Børne- og fami-liehusene i et tværfagligt samarbejde med sundhedsplejen og familiesektionen. En stor del af indsatsen foregår i hjemmet. Formålet med indsatsen er at forebygge anbringelse ved målrettet at arbejde med forældrenes mentaliseringsevne, forældrekompetencer og tilknytnin-gen mellem forældre og barn. Der visiteres til indsatsen efter servicelovens § 52 via børne- og familieområdets myndighed. Indsatsen udføres af et tværfagligt team bestående af familiekonsulenter og sundhedsplejersker, som er forankret i hver sin afdeling. Derudover etableres samarbejde med relevante tværfaglige og tværsektorielle samarbejdspartnere i tilknytning til familierne for at sikre, at parallelle indsatser ikke modarbejder hinanden. </t>
  </si>
  <si>
    <t xml:space="preserve">Den faktisk udvikling i omkostninger i Holstebro Kommune i 2018 og 2019 </t>
  </si>
  <si>
    <t>RESSOURCEFORBRUG I DRIFTEN AF INDSATSENS FASER</t>
  </si>
  <si>
    <t>GENERELLE ANTAGELSER</t>
  </si>
  <si>
    <t>Indsamlingsperiode for omkostninger i Holstebro Kommune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</si>
</sst>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 _k_r_._-;\-* #,##0.00\ _k_r_._-;_-* &quot;-&quot;??\ _k_r_._-;_-@_-"/>
    <numFmt numFmtId="165" formatCode="_ * #,##0.00_ ;_ * \-#,##0.00_ ;_ * &quot;-&quot;??_ ;_ @_ "/>
    <numFmt numFmtId="166" formatCode="0.0"/>
    <numFmt numFmtId="167" formatCode="#,##0_ ;\-#,##0\ "/>
  </numFmts>
  <fonts count="20" x14ac:knownFonts="1">
    <font>
      <sz val="9"/>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sz val="9"/>
      <color theme="1"/>
      <name val="Verdana"/>
      <family val="2"/>
      <scheme val="minor"/>
    </font>
    <font>
      <sz val="9"/>
      <color theme="1"/>
      <name val="Verdana"/>
      <family val="2"/>
      <scheme val="minor"/>
    </font>
    <font>
      <b/>
      <sz val="9"/>
      <color theme="0"/>
      <name val="Verdana"/>
      <family val="2"/>
      <scheme val="minor"/>
    </font>
    <font>
      <sz val="9"/>
      <name val="Verdana"/>
      <family val="2"/>
      <scheme val="minor"/>
    </font>
    <font>
      <i/>
      <sz val="9"/>
      <color theme="1"/>
      <name val="Verdana"/>
      <family val="2"/>
      <scheme val="minor"/>
    </font>
    <font>
      <i/>
      <sz val="9"/>
      <name val="Verdana"/>
      <family val="2"/>
      <scheme val="minor"/>
    </font>
    <font>
      <b/>
      <sz val="12"/>
      <color theme="0"/>
      <name val="Verdana"/>
      <family val="2"/>
      <scheme val="minor"/>
    </font>
    <font>
      <i/>
      <sz val="11"/>
      <color theme="0"/>
      <name val="Verdana"/>
      <family val="2"/>
      <scheme val="minor"/>
    </font>
    <font>
      <sz val="9"/>
      <color theme="0"/>
      <name val="Verdana"/>
      <family val="2"/>
      <scheme val="minor"/>
    </font>
    <font>
      <sz val="9"/>
      <color theme="7"/>
      <name val="Verdana"/>
      <family val="2"/>
      <scheme val="minor"/>
    </font>
    <font>
      <i/>
      <sz val="9"/>
      <color theme="0"/>
      <name val="Verdana"/>
      <family val="2"/>
      <scheme val="minor"/>
    </font>
    <font>
      <b/>
      <sz val="9"/>
      <name val="Verdana"/>
      <family val="2"/>
      <scheme val="minor"/>
    </font>
    <font>
      <sz val="9"/>
      <color theme="2"/>
      <name val="Verdana"/>
      <family val="2"/>
      <scheme val="minor"/>
    </font>
    <font>
      <b/>
      <sz val="16"/>
      <color theme="0"/>
      <name val="Verdana"/>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4"/>
        <bgColor indexed="64"/>
      </patternFill>
    </fill>
    <fill>
      <patternFill patternType="solid">
        <fgColor theme="3"/>
        <bgColor indexed="64"/>
      </patternFill>
    </fill>
    <fill>
      <patternFill patternType="solid">
        <fgColor theme="9"/>
        <bgColor indexed="64"/>
      </patternFill>
    </fill>
    <fill>
      <patternFill patternType="solid">
        <fgColor theme="0"/>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5" fillId="0" borderId="0"/>
    <xf numFmtId="165" fontId="5" fillId="0" borderId="0" applyFont="0" applyFill="0" applyBorder="0" applyAlignment="0" applyProtection="0"/>
    <xf numFmtId="0" fontId="4" fillId="0" borderId="0"/>
    <xf numFmtId="164" fontId="4" fillId="0" borderId="0" applyFont="0" applyFill="0" applyBorder="0" applyAlignment="0" applyProtection="0"/>
    <xf numFmtId="9" fontId="7" fillId="0" borderId="0" applyFont="0" applyFill="0" applyBorder="0" applyAlignment="0" applyProtection="0"/>
    <xf numFmtId="0" fontId="3" fillId="0" borderId="0"/>
    <xf numFmtId="0" fontId="2" fillId="0" borderId="0"/>
    <xf numFmtId="0" fontId="1" fillId="0" borderId="0"/>
    <xf numFmtId="43" fontId="7" fillId="0" borderId="0" applyFont="0" applyFill="0" applyBorder="0" applyAlignment="0" applyProtection="0"/>
  </cellStyleXfs>
  <cellXfs count="188">
    <xf numFmtId="0" fontId="0" fillId="0" borderId="0" xfId="0"/>
    <xf numFmtId="0" fontId="7" fillId="6" borderId="0" xfId="3" applyFont="1" applyFill="1" applyBorder="1"/>
    <xf numFmtId="0" fontId="12" fillId="4" borderId="0" xfId="3" applyFont="1" applyFill="1"/>
    <xf numFmtId="0" fontId="7" fillId="4" borderId="0" xfId="3" applyFont="1" applyFill="1"/>
    <xf numFmtId="0" fontId="7" fillId="6" borderId="0" xfId="3" applyFont="1" applyFill="1"/>
    <xf numFmtId="0" fontId="13" fillId="4" borderId="0" xfId="3" applyFont="1" applyFill="1" applyAlignment="1">
      <alignment vertical="center"/>
    </xf>
    <xf numFmtId="0" fontId="14" fillId="4" borderId="0" xfId="3" applyFont="1" applyFill="1" applyAlignment="1">
      <alignment vertical="center"/>
    </xf>
    <xf numFmtId="0" fontId="7" fillId="6" borderId="0" xfId="3" applyFont="1" applyFill="1" applyAlignment="1">
      <alignment vertical="center"/>
    </xf>
    <xf numFmtId="0" fontId="14" fillId="6" borderId="0" xfId="3" applyFont="1" applyFill="1" applyBorder="1"/>
    <xf numFmtId="0" fontId="8" fillId="7" borderId="0" xfId="3" applyFont="1" applyFill="1"/>
    <xf numFmtId="0" fontId="14" fillId="7" borderId="0" xfId="3" applyFont="1" applyFill="1"/>
    <xf numFmtId="0" fontId="14" fillId="6" borderId="0" xfId="3" applyFont="1" applyFill="1"/>
    <xf numFmtId="0" fontId="10" fillId="6" borderId="0" xfId="3" applyFont="1" applyFill="1"/>
    <xf numFmtId="0" fontId="7" fillId="6" borderId="1" xfId="3" applyFont="1" applyFill="1" applyBorder="1"/>
    <xf numFmtId="0" fontId="10" fillId="6" borderId="1" xfId="3" applyFont="1" applyFill="1" applyBorder="1"/>
    <xf numFmtId="0" fontId="15" fillId="6" borderId="0" xfId="3" applyFont="1" applyFill="1"/>
    <xf numFmtId="0" fontId="7" fillId="4" borderId="0" xfId="3" applyFont="1" applyFill="1" applyAlignment="1">
      <alignment vertical="center"/>
    </xf>
    <xf numFmtId="0" fontId="6" fillId="3" borderId="0" xfId="3" applyFont="1" applyFill="1"/>
    <xf numFmtId="0" fontId="10" fillId="3" borderId="0" xfId="3" applyFont="1" applyFill="1"/>
    <xf numFmtId="0" fontId="7" fillId="3" borderId="0" xfId="3" applyFont="1" applyFill="1" applyAlignment="1">
      <alignment horizontal="right"/>
    </xf>
    <xf numFmtId="0" fontId="7" fillId="3" borderId="0" xfId="3" applyFont="1" applyFill="1"/>
    <xf numFmtId="0" fontId="15" fillId="3" borderId="0" xfId="3" quotePrefix="1" applyFont="1" applyFill="1"/>
    <xf numFmtId="0" fontId="15" fillId="6" borderId="0" xfId="3" quotePrefix="1" applyFont="1" applyFill="1"/>
    <xf numFmtId="0" fontId="7" fillId="6" borderId="0" xfId="3" applyFont="1" applyFill="1" applyAlignment="1">
      <alignment horizontal="right"/>
    </xf>
    <xf numFmtId="0" fontId="7" fillId="6" borderId="1" xfId="3" applyFont="1" applyFill="1" applyBorder="1" applyAlignment="1">
      <alignment horizontal="right"/>
    </xf>
    <xf numFmtId="0" fontId="15" fillId="6" borderId="1" xfId="3" applyFont="1" applyFill="1" applyBorder="1"/>
    <xf numFmtId="0" fontId="6" fillId="6" borderId="0" xfId="3" applyFont="1" applyFill="1" applyBorder="1"/>
    <xf numFmtId="0" fontId="6" fillId="6" borderId="0" xfId="3" applyFont="1" applyFill="1"/>
    <xf numFmtId="0" fontId="6" fillId="5" borderId="0" xfId="3" applyFont="1" applyFill="1"/>
    <xf numFmtId="0" fontId="7" fillId="5" borderId="0" xfId="3" applyFont="1" applyFill="1"/>
    <xf numFmtId="0" fontId="7" fillId="6" borderId="2" xfId="3" applyFont="1" applyFill="1" applyBorder="1"/>
    <xf numFmtId="0" fontId="6" fillId="6" borderId="2" xfId="3" applyFont="1" applyFill="1" applyBorder="1"/>
    <xf numFmtId="0" fontId="0" fillId="6" borderId="0" xfId="3" applyFont="1" applyFill="1"/>
    <xf numFmtId="0" fontId="7" fillId="0" borderId="0" xfId="3" applyFont="1" applyFill="1" applyBorder="1"/>
    <xf numFmtId="0" fontId="6" fillId="0" borderId="0" xfId="3" applyFont="1" applyFill="1"/>
    <xf numFmtId="0" fontId="10" fillId="0" borderId="0" xfId="3" applyFont="1" applyFill="1"/>
    <xf numFmtId="0" fontId="7" fillId="0" borderId="0" xfId="3" applyFont="1" applyFill="1" applyAlignment="1">
      <alignment horizontal="right"/>
    </xf>
    <xf numFmtId="0" fontId="7" fillId="0" borderId="0" xfId="3" applyFont="1" applyFill="1"/>
    <xf numFmtId="0" fontId="15" fillId="0" borderId="0" xfId="3" quotePrefix="1" applyFont="1" applyFill="1"/>
    <xf numFmtId="0" fontId="0" fillId="0" borderId="0" xfId="3" applyFont="1" applyFill="1"/>
    <xf numFmtId="0" fontId="0" fillId="0" borderId="0" xfId="3" applyFont="1" applyFill="1" applyAlignment="1">
      <alignment horizontal="left" indent="1"/>
    </xf>
    <xf numFmtId="0" fontId="14" fillId="0" borderId="0" xfId="3" applyFont="1" applyFill="1" applyBorder="1"/>
    <xf numFmtId="0" fontId="8" fillId="0" borderId="0" xfId="3" applyFont="1" applyFill="1"/>
    <xf numFmtId="0" fontId="14" fillId="0" borderId="0" xfId="3" applyFont="1" applyFill="1"/>
    <xf numFmtId="0" fontId="9" fillId="6" borderId="0" xfId="3" applyFont="1" applyFill="1"/>
    <xf numFmtId="0" fontId="9" fillId="6" borderId="0" xfId="3" applyFont="1" applyFill="1" applyAlignment="1">
      <alignment horizontal="right"/>
    </xf>
    <xf numFmtId="0" fontId="0" fillId="6" borderId="0" xfId="3" applyFont="1" applyFill="1" applyAlignment="1">
      <alignment horizontal="right"/>
    </xf>
    <xf numFmtId="0" fontId="9" fillId="6" borderId="1" xfId="3" applyFont="1" applyFill="1" applyBorder="1" applyAlignment="1">
      <alignment horizontal="right"/>
    </xf>
    <xf numFmtId="0" fontId="15" fillId="4" borderId="0" xfId="3" applyFont="1" applyFill="1"/>
    <xf numFmtId="0" fontId="15" fillId="7" borderId="0" xfId="3" applyFont="1" applyFill="1"/>
    <xf numFmtId="0" fontId="15" fillId="0" borderId="0" xfId="3" applyFont="1" applyFill="1"/>
    <xf numFmtId="0" fontId="15" fillId="3" borderId="0" xfId="3" applyFont="1" applyFill="1"/>
    <xf numFmtId="0" fontId="0" fillId="6" borderId="0" xfId="3" applyFont="1" applyFill="1" applyBorder="1"/>
    <xf numFmtId="0" fontId="10" fillId="6" borderId="0" xfId="3" applyFont="1" applyFill="1" applyBorder="1"/>
    <xf numFmtId="0" fontId="9" fillId="6" borderId="0" xfId="3" applyFont="1" applyFill="1" applyBorder="1" applyAlignment="1">
      <alignment horizontal="right"/>
    </xf>
    <xf numFmtId="0" fontId="7" fillId="6" borderId="0" xfId="3" applyFont="1" applyFill="1" applyBorder="1" applyAlignment="1">
      <alignment horizontal="right"/>
    </xf>
    <xf numFmtId="0" fontId="15" fillId="6" borderId="0" xfId="3" applyFont="1" applyFill="1" applyBorder="1"/>
    <xf numFmtId="0" fontId="0" fillId="6" borderId="0" xfId="3" applyFont="1" applyFill="1" applyBorder="1" applyAlignment="1">
      <alignment horizontal="left" indent="1"/>
    </xf>
    <xf numFmtId="0" fontId="0" fillId="6" borderId="0" xfId="3" applyFont="1" applyFill="1" applyAlignment="1">
      <alignment horizontal="left" indent="1"/>
    </xf>
    <xf numFmtId="0" fontId="0" fillId="6" borderId="1" xfId="3" applyFont="1" applyFill="1" applyBorder="1" applyAlignment="1">
      <alignment horizontal="left" indent="1"/>
    </xf>
    <xf numFmtId="0" fontId="0" fillId="6" borderId="0" xfId="3" applyFont="1" applyFill="1" applyBorder="1" applyAlignment="1">
      <alignment horizontal="right"/>
    </xf>
    <xf numFmtId="0" fontId="0" fillId="6" borderId="1" xfId="3" applyFont="1" applyFill="1" applyBorder="1" applyAlignment="1">
      <alignment horizontal="right"/>
    </xf>
    <xf numFmtId="0" fontId="0" fillId="6" borderId="1" xfId="3" applyFont="1" applyFill="1" applyBorder="1" applyAlignment="1">
      <alignment horizontal="left"/>
    </xf>
    <xf numFmtId="3" fontId="7" fillId="5" borderId="0" xfId="3" applyNumberFormat="1" applyFont="1" applyFill="1"/>
    <xf numFmtId="3" fontId="7" fillId="6" borderId="0" xfId="3" applyNumberFormat="1" applyFont="1" applyFill="1"/>
    <xf numFmtId="0" fontId="9" fillId="0" borderId="0" xfId="3" applyFont="1" applyFill="1"/>
    <xf numFmtId="0" fontId="11" fillId="6" borderId="0" xfId="3" applyFont="1" applyFill="1"/>
    <xf numFmtId="0" fontId="9" fillId="0" borderId="0" xfId="3" applyFont="1" applyFill="1" applyAlignment="1">
      <alignment horizontal="left" indent="1"/>
    </xf>
    <xf numFmtId="3" fontId="9" fillId="6" borderId="0" xfId="3" applyNumberFormat="1" applyFont="1" applyFill="1"/>
    <xf numFmtId="3" fontId="9" fillId="0" borderId="0" xfId="3" applyNumberFormat="1" applyFont="1" applyFill="1"/>
    <xf numFmtId="3" fontId="7" fillId="0" borderId="0" xfId="3" applyNumberFormat="1" applyFont="1" applyFill="1" applyAlignment="1">
      <alignment horizontal="right"/>
    </xf>
    <xf numFmtId="3" fontId="7" fillId="6" borderId="0" xfId="3" applyNumberFormat="1" applyFont="1" applyFill="1" applyAlignment="1">
      <alignment horizontal="right"/>
    </xf>
    <xf numFmtId="3" fontId="7" fillId="6" borderId="2" xfId="3" applyNumberFormat="1" applyFont="1" applyFill="1" applyBorder="1" applyAlignment="1">
      <alignment horizontal="right"/>
    </xf>
    <xf numFmtId="3" fontId="6" fillId="6" borderId="2" xfId="3" applyNumberFormat="1" applyFont="1" applyFill="1" applyBorder="1" applyAlignment="1">
      <alignment horizontal="right"/>
    </xf>
    <xf numFmtId="0" fontId="0" fillId="2" borderId="0" xfId="3" applyFont="1" applyFill="1"/>
    <xf numFmtId="0" fontId="10" fillId="2" borderId="0" xfId="3" applyFont="1" applyFill="1"/>
    <xf numFmtId="0" fontId="0" fillId="2" borderId="0" xfId="3" applyFont="1" applyFill="1" applyAlignment="1">
      <alignment horizontal="right" vertical="center"/>
    </xf>
    <xf numFmtId="0" fontId="7" fillId="2" borderId="0" xfId="3" applyFont="1" applyFill="1"/>
    <xf numFmtId="0" fontId="15" fillId="2" borderId="0" xfId="3" quotePrefix="1" applyFont="1" applyFill="1"/>
    <xf numFmtId="0" fontId="9" fillId="0" borderId="0" xfId="3" applyFont="1" applyFill="1" applyBorder="1"/>
    <xf numFmtId="0" fontId="11" fillId="0" borderId="0" xfId="3" applyFont="1" applyFill="1"/>
    <xf numFmtId="0" fontId="16" fillId="0" borderId="0" xfId="3" applyFont="1" applyFill="1"/>
    <xf numFmtId="0" fontId="9" fillId="0" borderId="0" xfId="3" applyFont="1" applyFill="1" applyAlignment="1">
      <alignment horizontal="right"/>
    </xf>
    <xf numFmtId="3" fontId="6" fillId="0" borderId="0" xfId="3" applyNumberFormat="1" applyFont="1" applyFill="1" applyBorder="1" applyAlignment="1">
      <alignment horizontal="right"/>
    </xf>
    <xf numFmtId="0" fontId="11" fillId="0" borderId="1" xfId="3" applyFont="1" applyFill="1" applyBorder="1"/>
    <xf numFmtId="3" fontId="9" fillId="0" borderId="1" xfId="3" applyNumberFormat="1" applyFont="1" applyFill="1" applyBorder="1"/>
    <xf numFmtId="3" fontId="7" fillId="6" borderId="0" xfId="3" applyNumberFormat="1" applyFont="1" applyFill="1" applyBorder="1"/>
    <xf numFmtId="0" fontId="9" fillId="6" borderId="0" xfId="3" applyFont="1" applyFill="1" applyAlignment="1">
      <alignment horizontal="left"/>
    </xf>
    <xf numFmtId="0" fontId="9" fillId="0" borderId="0" xfId="3" applyFont="1" applyFill="1" applyBorder="1" applyAlignment="1">
      <alignment horizontal="left" indent="1"/>
    </xf>
    <xf numFmtId="0" fontId="11" fillId="0" borderId="0" xfId="3" applyFont="1" applyFill="1" applyBorder="1"/>
    <xf numFmtId="3" fontId="9" fillId="0" borderId="0" xfId="3" applyNumberFormat="1" applyFont="1" applyFill="1" applyBorder="1"/>
    <xf numFmtId="0" fontId="15" fillId="0" borderId="0" xfId="3" applyFont="1" applyFill="1" applyBorder="1"/>
    <xf numFmtId="0" fontId="7" fillId="0" borderId="1" xfId="3" applyFont="1" applyFill="1" applyBorder="1"/>
    <xf numFmtId="0" fontId="15" fillId="0" borderId="1" xfId="3" applyFont="1" applyFill="1" applyBorder="1"/>
    <xf numFmtId="0" fontId="17" fillId="0" borderId="0" xfId="3" applyFont="1" applyFill="1"/>
    <xf numFmtId="0" fontId="6" fillId="0" borderId="0" xfId="3" applyFont="1" applyFill="1" applyBorder="1"/>
    <xf numFmtId="0" fontId="10" fillId="0" borderId="0" xfId="3" applyFont="1" applyFill="1" applyAlignment="1"/>
    <xf numFmtId="0" fontId="6" fillId="0" borderId="0" xfId="3" applyFont="1" applyFill="1" applyAlignment="1">
      <alignment horizontal="left"/>
    </xf>
    <xf numFmtId="9" fontId="7" fillId="0" borderId="0" xfId="5" applyFont="1" applyFill="1" applyBorder="1" applyAlignment="1">
      <alignment horizontal="right"/>
    </xf>
    <xf numFmtId="1" fontId="9" fillId="6" borderId="0" xfId="3" applyNumberFormat="1" applyFont="1" applyFill="1" applyAlignment="1">
      <alignment horizontal="right"/>
    </xf>
    <xf numFmtId="0" fontId="9" fillId="6" borderId="0" xfId="3" applyFont="1" applyFill="1" applyAlignment="1">
      <alignment vertical="center"/>
    </xf>
    <xf numFmtId="0" fontId="0" fillId="6" borderId="1" xfId="3" applyFont="1" applyFill="1" applyBorder="1"/>
    <xf numFmtId="0" fontId="9" fillId="6" borderId="1" xfId="3" applyFont="1" applyFill="1" applyBorder="1"/>
    <xf numFmtId="0" fontId="14" fillId="6" borderId="0" xfId="3" applyFont="1" applyFill="1" applyAlignment="1">
      <alignment vertical="center"/>
    </xf>
    <xf numFmtId="3" fontId="6" fillId="6" borderId="0" xfId="3" applyNumberFormat="1" applyFont="1" applyFill="1" applyBorder="1" applyAlignment="1">
      <alignment horizontal="right"/>
    </xf>
    <xf numFmtId="1" fontId="0" fillId="6" borderId="0" xfId="3" applyNumberFormat="1" applyFont="1" applyFill="1" applyAlignment="1">
      <alignment horizontal="right"/>
    </xf>
    <xf numFmtId="0" fontId="10" fillId="5" borderId="0" xfId="3" applyFont="1" applyFill="1"/>
    <xf numFmtId="0" fontId="14" fillId="7" borderId="0" xfId="3" applyFont="1" applyFill="1" applyAlignment="1">
      <alignment horizontal="right"/>
    </xf>
    <xf numFmtId="166" fontId="7" fillId="6" borderId="0" xfId="3" applyNumberFormat="1" applyFont="1" applyFill="1"/>
    <xf numFmtId="3" fontId="7" fillId="3" borderId="0" xfId="3" applyNumberFormat="1" applyFont="1" applyFill="1"/>
    <xf numFmtId="3" fontId="7" fillId="3" borderId="2" xfId="3" applyNumberFormat="1" applyFont="1" applyFill="1" applyBorder="1" applyAlignment="1">
      <alignment horizontal="right"/>
    </xf>
    <xf numFmtId="3" fontId="6" fillId="3" borderId="2" xfId="3" applyNumberFormat="1" applyFont="1" applyFill="1" applyBorder="1" applyAlignment="1">
      <alignment horizontal="right"/>
    </xf>
    <xf numFmtId="0" fontId="9" fillId="5" borderId="0" xfId="1" applyNumberFormat="1" applyFont="1" applyFill="1" applyAlignment="1">
      <alignment horizontal="center" vertical="center"/>
    </xf>
    <xf numFmtId="0" fontId="10" fillId="5" borderId="0" xfId="3" applyFont="1" applyFill="1" applyAlignment="1">
      <alignment horizontal="right" wrapText="1"/>
    </xf>
    <xf numFmtId="0" fontId="10" fillId="5" borderId="0" xfId="3" applyFont="1" applyFill="1" applyAlignment="1">
      <alignment horizontal="right"/>
    </xf>
    <xf numFmtId="9" fontId="7" fillId="3" borderId="0" xfId="5" applyFont="1" applyFill="1"/>
    <xf numFmtId="9" fontId="7" fillId="3" borderId="3" xfId="5" applyFont="1" applyFill="1" applyBorder="1"/>
    <xf numFmtId="9" fontId="7" fillId="3" borderId="2" xfId="5" applyFont="1" applyFill="1" applyBorder="1"/>
    <xf numFmtId="3" fontId="7" fillId="3" borderId="2" xfId="3" applyNumberFormat="1" applyFont="1" applyFill="1" applyBorder="1"/>
    <xf numFmtId="3" fontId="6" fillId="3" borderId="3" xfId="3" applyNumberFormat="1" applyFont="1" applyFill="1" applyBorder="1"/>
    <xf numFmtId="1" fontId="7" fillId="6" borderId="0" xfId="3" applyNumberFormat="1" applyFont="1" applyFill="1" applyAlignment="1">
      <alignment horizontal="right"/>
    </xf>
    <xf numFmtId="0" fontId="0" fillId="6" borderId="4" xfId="3" applyFont="1" applyFill="1" applyBorder="1"/>
    <xf numFmtId="0" fontId="0" fillId="6" borderId="4" xfId="3" quotePrefix="1" applyFont="1" applyFill="1" applyBorder="1"/>
    <xf numFmtId="0" fontId="14" fillId="7" borderId="4" xfId="3" applyFont="1" applyFill="1" applyBorder="1"/>
    <xf numFmtId="0" fontId="18" fillId="6" borderId="0" xfId="3" applyFont="1" applyFill="1"/>
    <xf numFmtId="9" fontId="18" fillId="6" borderId="0" xfId="3" applyNumberFormat="1" applyFont="1" applyFill="1"/>
    <xf numFmtId="3" fontId="7" fillId="6" borderId="4" xfId="3" applyNumberFormat="1" applyFont="1" applyFill="1" applyBorder="1"/>
    <xf numFmtId="0" fontId="7" fillId="4" borderId="0" xfId="8" applyFont="1" applyFill="1"/>
    <xf numFmtId="0" fontId="12" fillId="4" borderId="0" xfId="8" applyFont="1" applyFill="1"/>
    <xf numFmtId="0" fontId="7" fillId="6" borderId="0" xfId="8" applyFont="1" applyFill="1"/>
    <xf numFmtId="0" fontId="13" fillId="4" borderId="0" xfId="8" applyFont="1" applyFill="1" applyAlignment="1">
      <alignment vertical="center"/>
    </xf>
    <xf numFmtId="0" fontId="14" fillId="4" borderId="0" xfId="8" applyFont="1" applyFill="1" applyAlignment="1">
      <alignment vertical="center"/>
    </xf>
    <xf numFmtId="0" fontId="7" fillId="6" borderId="0" xfId="8" applyFont="1" applyFill="1" applyAlignment="1">
      <alignment vertical="center"/>
    </xf>
    <xf numFmtId="0" fontId="14" fillId="4" borderId="0" xfId="8" applyFont="1" applyFill="1"/>
    <xf numFmtId="0" fontId="8" fillId="4" borderId="0" xfId="8" applyFont="1" applyFill="1"/>
    <xf numFmtId="0" fontId="14" fillId="6" borderId="0" xfId="8" applyFont="1" applyFill="1"/>
    <xf numFmtId="0" fontId="9" fillId="4" borderId="0" xfId="8" applyFont="1" applyFill="1"/>
    <xf numFmtId="0" fontId="11" fillId="4" borderId="0" xfId="8" applyFont="1" applyFill="1"/>
    <xf numFmtId="0" fontId="9" fillId="4" borderId="0" xfId="8" applyFont="1" applyFill="1" applyAlignment="1">
      <alignment horizontal="right"/>
    </xf>
    <xf numFmtId="0" fontId="10" fillId="4" borderId="0" xfId="8" applyFont="1" applyFill="1"/>
    <xf numFmtId="1" fontId="7" fillId="4" borderId="0" xfId="8" applyNumberFormat="1" applyFont="1" applyFill="1"/>
    <xf numFmtId="0" fontId="6" fillId="4" borderId="0" xfId="8" quotePrefix="1" applyFont="1" applyFill="1"/>
    <xf numFmtId="0" fontId="0" fillId="4" borderId="0" xfId="8" quotePrefix="1" applyFont="1" applyFill="1"/>
    <xf numFmtId="0" fontId="0" fillId="4" borderId="0" xfId="8" applyFont="1" applyFill="1"/>
    <xf numFmtId="0" fontId="17" fillId="4" borderId="0" xfId="8" applyFont="1" applyFill="1"/>
    <xf numFmtId="0" fontId="9" fillId="4" borderId="0" xfId="8" applyFont="1" applyFill="1" applyAlignment="1">
      <alignment horizontal="left" indent="1"/>
    </xf>
    <xf numFmtId="3" fontId="9" fillId="4" borderId="0" xfId="8" applyNumberFormat="1" applyFont="1" applyFill="1"/>
    <xf numFmtId="0" fontId="6" fillId="4" borderId="0" xfId="8" applyFont="1" applyFill="1" applyAlignment="1">
      <alignment horizontal="left"/>
    </xf>
    <xf numFmtId="0" fontId="14" fillId="4" borderId="0" xfId="8" applyFont="1" applyFill="1" applyAlignment="1">
      <alignment horizontal="left"/>
    </xf>
    <xf numFmtId="0" fontId="15" fillId="4" borderId="0" xfId="8" applyFont="1" applyFill="1"/>
    <xf numFmtId="3" fontId="15" fillId="4" borderId="0" xfId="8" applyNumberFormat="1" applyFont="1" applyFill="1"/>
    <xf numFmtId="0" fontId="18" fillId="4" borderId="0" xfId="8" applyFont="1" applyFill="1"/>
    <xf numFmtId="9" fontId="18" fillId="4" borderId="0" xfId="8" applyNumberFormat="1" applyFont="1" applyFill="1"/>
    <xf numFmtId="0" fontId="16" fillId="7" borderId="0" xfId="3" applyFont="1" applyFill="1"/>
    <xf numFmtId="166" fontId="7" fillId="6" borderId="1" xfId="3" applyNumberFormat="1" applyFont="1" applyFill="1" applyBorder="1"/>
    <xf numFmtId="0" fontId="10" fillId="6" borderId="0" xfId="3" applyFont="1" applyFill="1" applyBorder="1" applyAlignment="1">
      <alignment horizontal="right" wrapText="1"/>
    </xf>
    <xf numFmtId="0" fontId="10" fillId="6" borderId="0" xfId="3" applyFont="1" applyFill="1" applyBorder="1" applyAlignment="1">
      <alignment horizontal="right"/>
    </xf>
    <xf numFmtId="0" fontId="9" fillId="6" borderId="0" xfId="1" applyNumberFormat="1" applyFont="1" applyFill="1" applyBorder="1" applyAlignment="1">
      <alignment horizontal="center" vertical="center"/>
    </xf>
    <xf numFmtId="0" fontId="6" fillId="6" borderId="3" xfId="3" applyFont="1" applyFill="1" applyBorder="1"/>
    <xf numFmtId="3" fontId="6" fillId="6" borderId="3" xfId="3" applyNumberFormat="1" applyFont="1" applyFill="1" applyBorder="1" applyAlignment="1">
      <alignment horizontal="right"/>
    </xf>
    <xf numFmtId="3" fontId="6" fillId="6" borderId="3" xfId="3" applyNumberFormat="1" applyFont="1" applyFill="1" applyBorder="1"/>
    <xf numFmtId="0" fontId="7" fillId="0" borderId="1" xfId="3" applyFont="1" applyFill="1" applyBorder="1" applyAlignment="1">
      <alignment horizontal="left"/>
    </xf>
    <xf numFmtId="0" fontId="10" fillId="6" borderId="1" xfId="3" applyFont="1" applyFill="1" applyBorder="1" applyAlignment="1">
      <alignment horizontal="right" wrapText="1"/>
    </xf>
    <xf numFmtId="0" fontId="10" fillId="6" borderId="1" xfId="3" applyFont="1" applyFill="1" applyBorder="1" applyAlignment="1">
      <alignment horizontal="right"/>
    </xf>
    <xf numFmtId="0" fontId="9" fillId="6" borderId="1" xfId="1" applyNumberFormat="1" applyFont="1" applyFill="1" applyBorder="1" applyAlignment="1">
      <alignment horizontal="center" vertical="center"/>
    </xf>
    <xf numFmtId="0" fontId="6" fillId="5" borderId="0" xfId="1" applyNumberFormat="1" applyFont="1" applyFill="1" applyAlignment="1">
      <alignment horizontal="right" vertical="center"/>
    </xf>
    <xf numFmtId="0" fontId="7" fillId="5" borderId="0" xfId="3" applyFont="1" applyFill="1" applyAlignment="1">
      <alignment horizontal="right"/>
    </xf>
    <xf numFmtId="167" fontId="7" fillId="6" borderId="0" xfId="9" applyNumberFormat="1" applyFont="1" applyFill="1" applyBorder="1" applyAlignment="1">
      <alignment horizontal="right"/>
    </xf>
    <xf numFmtId="167" fontId="7" fillId="6" borderId="1" xfId="9" applyNumberFormat="1" applyFont="1" applyFill="1" applyBorder="1" applyAlignment="1">
      <alignment horizontal="right"/>
    </xf>
    <xf numFmtId="0" fontId="6" fillId="6" borderId="0" xfId="6" applyFont="1" applyFill="1"/>
    <xf numFmtId="0" fontId="9" fillId="6" borderId="0" xfId="3" applyFont="1" applyFill="1" applyBorder="1" applyAlignment="1">
      <alignment horizontal="left"/>
    </xf>
    <xf numFmtId="0" fontId="0" fillId="6" borderId="1" xfId="3" applyFont="1" applyFill="1" applyBorder="1" applyAlignment="1">
      <alignment vertical="top"/>
    </xf>
    <xf numFmtId="0" fontId="7" fillId="6" borderId="1" xfId="3" applyFont="1" applyFill="1" applyBorder="1" applyAlignment="1">
      <alignment vertical="top"/>
    </xf>
    <xf numFmtId="0" fontId="9" fillId="6" borderId="1" xfId="3" applyFont="1" applyFill="1" applyBorder="1" applyAlignment="1">
      <alignment horizontal="left" vertical="top"/>
    </xf>
    <xf numFmtId="0" fontId="9" fillId="0" borderId="0" xfId="3" applyFont="1" applyFill="1" applyBorder="1" applyAlignment="1">
      <alignment vertical="center" wrapText="1"/>
    </xf>
    <xf numFmtId="0" fontId="9" fillId="0" borderId="0" xfId="3" applyFont="1" applyFill="1" applyBorder="1" applyAlignment="1">
      <alignment horizontal="left" vertical="center"/>
    </xf>
    <xf numFmtId="0" fontId="9" fillId="0" borderId="1" xfId="3" applyFont="1" applyFill="1" applyBorder="1"/>
    <xf numFmtId="166" fontId="9" fillId="0" borderId="1" xfId="3" applyNumberFormat="1" applyFont="1" applyFill="1" applyBorder="1" applyAlignment="1">
      <alignment horizontal="left"/>
    </xf>
    <xf numFmtId="0" fontId="19" fillId="4" borderId="0" xfId="8" applyFont="1" applyFill="1" applyAlignment="1">
      <alignment horizontal="center" vertical="center" wrapText="1"/>
    </xf>
    <xf numFmtId="0" fontId="11" fillId="0" borderId="0" xfId="3" applyFont="1" applyFill="1" applyBorder="1" applyAlignment="1">
      <alignment horizontal="left" vertical="top" wrapText="1"/>
    </xf>
    <xf numFmtId="0" fontId="11" fillId="0" borderId="1" xfId="3" applyFont="1" applyFill="1" applyBorder="1" applyAlignment="1">
      <alignment horizontal="left" vertical="top" wrapText="1"/>
    </xf>
    <xf numFmtId="0" fontId="7" fillId="6" borderId="0" xfId="3" applyFont="1" applyFill="1" applyBorder="1" applyAlignment="1">
      <alignment horizontal="left" vertical="top" wrapText="1"/>
    </xf>
    <xf numFmtId="0" fontId="7" fillId="6" borderId="1" xfId="3" applyFont="1" applyFill="1" applyBorder="1" applyAlignment="1">
      <alignment horizontal="left" vertical="top" wrapText="1"/>
    </xf>
    <xf numFmtId="0" fontId="10" fillId="6" borderId="0" xfId="3" applyFont="1" applyFill="1" applyBorder="1" applyAlignment="1">
      <alignment horizontal="left" vertical="top" wrapText="1"/>
    </xf>
    <xf numFmtId="0" fontId="10" fillId="6" borderId="1" xfId="3" applyFont="1" applyFill="1" applyBorder="1" applyAlignment="1">
      <alignment horizontal="left" vertical="top" wrapText="1"/>
    </xf>
    <xf numFmtId="0" fontId="11" fillId="6" borderId="0" xfId="3" applyFont="1" applyFill="1" applyAlignment="1">
      <alignment horizontal="left" vertical="center" wrapText="1"/>
    </xf>
    <xf numFmtId="0" fontId="10" fillId="6" borderId="0" xfId="3" applyFont="1" applyFill="1" applyAlignment="1">
      <alignment horizontal="left" vertical="top" wrapText="1"/>
    </xf>
    <xf numFmtId="0" fontId="6" fillId="5" borderId="0" xfId="1" applyNumberFormat="1" applyFont="1" applyFill="1" applyAlignment="1">
      <alignment horizontal="center" vertical="center"/>
    </xf>
  </cellXfs>
  <cellStyles count="10">
    <cellStyle name="Comma 2" xfId="2"/>
    <cellStyle name="Comma 3" xfId="4"/>
    <cellStyle name="Komma" xfId="9" builtinId="3"/>
    <cellStyle name="Normal" xfId="0" builtinId="0" customBuiltin="1"/>
    <cellStyle name="Normal 2" xfId="3"/>
    <cellStyle name="Normal 2 2" xfId="6"/>
    <cellStyle name="Normal 2 3" xfId="7"/>
    <cellStyle name="Normal 2 4" xfId="8"/>
    <cellStyle name="Normal 3" xfId="1"/>
    <cellStyle name="Pro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702802378199167E-2"/>
          <c:y val="3.0937495088182984E-2"/>
          <c:w val="0.94859439524360167"/>
          <c:h val="0.87623349579105136"/>
        </c:manualLayout>
      </c:layout>
      <c:barChart>
        <c:barDir val="col"/>
        <c:grouping val="clustered"/>
        <c:varyColors val="0"/>
        <c:ser>
          <c:idx val="0"/>
          <c:order val="0"/>
          <c:spPr>
            <a:solidFill>
              <a:srgbClr val="009DE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Resultater!$B$10:$B$12</c:f>
              <c:strCache>
                <c:ptCount val="3"/>
                <c:pt idx="0">
                  <c:v>Aktiviteter med familier</c:v>
                </c:pt>
                <c:pt idx="1">
                  <c:v>Aktiviteter uden familier</c:v>
                </c:pt>
                <c:pt idx="2">
                  <c:v>Øvrige udgifter</c:v>
                </c:pt>
              </c:strCache>
            </c:strRef>
          </c:cat>
          <c:val>
            <c:numRef>
              <c:f>Resultater!$H$10:$H$12</c:f>
              <c:numCache>
                <c:formatCode>0%</c:formatCode>
                <c:ptCount val="3"/>
                <c:pt idx="0">
                  <c:v>0.53053833834157227</c:v>
                </c:pt>
                <c:pt idx="1">
                  <c:v>0.39897704289790514</c:v>
                </c:pt>
                <c:pt idx="2">
                  <c:v>7.0484618760522491E-2</c:v>
                </c:pt>
              </c:numCache>
            </c:numRef>
          </c:val>
          <c:extLst>
            <c:ext xmlns:c16="http://schemas.microsoft.com/office/drawing/2014/chart" uri="{C3380CC4-5D6E-409C-BE32-E72D297353CC}">
              <c16:uniqueId val="{00000000-5E16-4C58-BA2F-A0D423A56CFC}"/>
            </c:ext>
          </c:extLst>
        </c:ser>
        <c:dLbls>
          <c:dLblPos val="outEnd"/>
          <c:showLegendKey val="0"/>
          <c:showVal val="1"/>
          <c:showCatName val="0"/>
          <c:showSerName val="0"/>
          <c:showPercent val="0"/>
          <c:showBubbleSize val="0"/>
        </c:dLbls>
        <c:gapWidth val="219"/>
        <c:axId val="508749544"/>
        <c:axId val="338085296"/>
      </c:barChart>
      <c:catAx>
        <c:axId val="508749544"/>
        <c:scaling>
          <c:orientation val="minMax"/>
        </c:scaling>
        <c:delete val="0"/>
        <c:axPos val="b"/>
        <c:numFmt formatCode="General" sourceLinked="1"/>
        <c:majorTickMark val="none"/>
        <c:minorTickMark val="none"/>
        <c:tickLblPos val="low"/>
        <c:spPr>
          <a:noFill/>
          <a:ln w="9525" cap="flat" cmpd="sng" algn="ctr">
            <a:solidFill>
              <a:srgbClr val="000000"/>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da-DK"/>
          </a:p>
        </c:txPr>
        <c:crossAx val="338085296"/>
        <c:crosses val="autoZero"/>
        <c:auto val="1"/>
        <c:lblAlgn val="ctr"/>
        <c:lblOffset val="100"/>
        <c:noMultiLvlLbl val="0"/>
      </c:catAx>
      <c:valAx>
        <c:axId val="338085296"/>
        <c:scaling>
          <c:orientation val="minMax"/>
        </c:scaling>
        <c:delete val="1"/>
        <c:axPos val="l"/>
        <c:numFmt formatCode="0%" sourceLinked="1"/>
        <c:majorTickMark val="none"/>
        <c:minorTickMark val="none"/>
        <c:tickLblPos val="nextTo"/>
        <c:crossAx val="508749544"/>
        <c:crosses val="autoZero"/>
        <c:crossBetween val="between"/>
      </c:valAx>
      <c:spPr>
        <a:noFill/>
        <a:ln>
          <a:noFill/>
        </a:ln>
        <a:effectLst/>
      </c:spPr>
    </c:plotArea>
    <c:plotVisOnly val="1"/>
    <c:dispBlanksAs val="gap"/>
    <c:showDLblsOverMax val="0"/>
  </c:chart>
  <c:spPr>
    <a:noFill/>
    <a:ln w="6350" cap="flat" cmpd="sng" algn="ctr">
      <a:noFill/>
      <a:round/>
    </a:ln>
    <a:effectLst/>
  </c:spPr>
  <c:txPr>
    <a:bodyPr/>
    <a:lstStyle/>
    <a:p>
      <a:pPr>
        <a:defRPr sz="800" b="1">
          <a:latin typeface="Verdana" panose="020B0604030504040204" pitchFamily="34" charset="0"/>
          <a:ea typeface="Verdana" panose="020B0604030504040204" pitchFamily="34" charset="0"/>
          <a:cs typeface="Verdana" panose="020B060403050404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812750574920353E-2"/>
          <c:y val="3.1365717682196953E-2"/>
          <c:w val="0.94837449885015934"/>
          <c:h val="0.80409241663112985"/>
        </c:manualLayout>
      </c:layout>
      <c:barChart>
        <c:barDir val="col"/>
        <c:grouping val="clustered"/>
        <c:varyColors val="0"/>
        <c:ser>
          <c:idx val="0"/>
          <c:order val="0"/>
          <c:spPr>
            <a:solidFill>
              <a:srgbClr val="009DE0"/>
            </a:solidFill>
          </c:spPr>
          <c:invertIfNegative val="0"/>
          <c:dLbls>
            <c:spPr>
              <a:noFill/>
              <a:ln>
                <a:noFill/>
              </a:ln>
              <a:effectLst/>
            </c:spPr>
            <c:txPr>
              <a:bodyPr wrap="square" lIns="38100" tIns="19050" rIns="38100" bIns="19050" anchor="ctr">
                <a:spAutoFit/>
              </a:bodyPr>
              <a:lstStyle/>
              <a:p>
                <a:pPr>
                  <a:defRPr sz="800" b="1"/>
                </a:pPr>
                <a:endParaRPr lang="da-DK"/>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Resultater!$J$4:$Y$5</c:f>
              <c:multiLvlStrCache>
                <c:ptCount val="16"/>
                <c:lvl>
                  <c:pt idx="0">
                    <c:v>Jun.</c:v>
                  </c:pt>
                  <c:pt idx="1">
                    <c:v>Jul.</c:v>
                  </c:pt>
                  <c:pt idx="2">
                    <c:v>Aug.</c:v>
                  </c:pt>
                  <c:pt idx="3">
                    <c:v>Sep.</c:v>
                  </c:pt>
                  <c:pt idx="4">
                    <c:v>Okt.</c:v>
                  </c:pt>
                  <c:pt idx="5">
                    <c:v>Nov.</c:v>
                  </c:pt>
                  <c:pt idx="6">
                    <c:v>Dec.</c:v>
                  </c:pt>
                  <c:pt idx="7">
                    <c:v>Jan.</c:v>
                  </c:pt>
                  <c:pt idx="8">
                    <c:v>Feb.</c:v>
                  </c:pt>
                  <c:pt idx="9">
                    <c:v>Mar.</c:v>
                  </c:pt>
                  <c:pt idx="10">
                    <c:v>Apr.</c:v>
                  </c:pt>
                  <c:pt idx="11">
                    <c:v>Maj</c:v>
                  </c:pt>
                  <c:pt idx="12">
                    <c:v>Jun.</c:v>
                  </c:pt>
                  <c:pt idx="13">
                    <c:v>Jul.</c:v>
                  </c:pt>
                  <c:pt idx="14">
                    <c:v>Aug.</c:v>
                  </c:pt>
                  <c:pt idx="15">
                    <c:v>Sep.</c:v>
                  </c:pt>
                </c:lvl>
                <c:lvl>
                  <c:pt idx="0">
                    <c:v>2018</c:v>
                  </c:pt>
                  <c:pt idx="7">
                    <c:v>2019</c:v>
                  </c:pt>
                </c:lvl>
              </c:multiLvlStrCache>
            </c:multiLvlStrRef>
          </c:cat>
          <c:val>
            <c:numRef>
              <c:f>Resultater!$J$14:$Y$14</c:f>
              <c:numCache>
                <c:formatCode>#,##0</c:formatCode>
                <c:ptCount val="16"/>
                <c:pt idx="0">
                  <c:v>74402.257933645189</c:v>
                </c:pt>
                <c:pt idx="1">
                  <c:v>74402.257933645189</c:v>
                </c:pt>
                <c:pt idx="2">
                  <c:v>74402.257933645189</c:v>
                </c:pt>
                <c:pt idx="3">
                  <c:v>98288.297749136866</c:v>
                </c:pt>
                <c:pt idx="4">
                  <c:v>98288.297749136866</c:v>
                </c:pt>
                <c:pt idx="5">
                  <c:v>206965.60295434401</c:v>
                </c:pt>
                <c:pt idx="6">
                  <c:v>206965.60295434401</c:v>
                </c:pt>
                <c:pt idx="7">
                  <c:v>133527.36861851253</c:v>
                </c:pt>
                <c:pt idx="8">
                  <c:v>133527.36861851253</c:v>
                </c:pt>
                <c:pt idx="9">
                  <c:v>133527.36861851253</c:v>
                </c:pt>
                <c:pt idx="10">
                  <c:v>244924.11467837106</c:v>
                </c:pt>
                <c:pt idx="11">
                  <c:v>244924.11467837106</c:v>
                </c:pt>
                <c:pt idx="12">
                  <c:v>244924.11467837106</c:v>
                </c:pt>
                <c:pt idx="13">
                  <c:v>132806.37651451075</c:v>
                </c:pt>
                <c:pt idx="14">
                  <c:v>132806.37651451075</c:v>
                </c:pt>
                <c:pt idx="15">
                  <c:v>132806.37651451075</c:v>
                </c:pt>
              </c:numCache>
            </c:numRef>
          </c:val>
          <c:extLst>
            <c:ext xmlns:c16="http://schemas.microsoft.com/office/drawing/2014/chart" uri="{C3380CC4-5D6E-409C-BE32-E72D297353CC}">
              <c16:uniqueId val="{00000000-5722-46A6-B855-96D9E922C7B3}"/>
            </c:ext>
          </c:extLst>
        </c:ser>
        <c:dLbls>
          <c:showLegendKey val="0"/>
          <c:showVal val="1"/>
          <c:showCatName val="0"/>
          <c:showSerName val="0"/>
          <c:showPercent val="0"/>
          <c:showBubbleSize val="0"/>
        </c:dLbls>
        <c:gapWidth val="150"/>
        <c:axId val="513392928"/>
        <c:axId val="513393320"/>
      </c:barChart>
      <c:catAx>
        <c:axId val="513392928"/>
        <c:scaling>
          <c:orientation val="minMax"/>
        </c:scaling>
        <c:delete val="0"/>
        <c:axPos val="b"/>
        <c:numFmt formatCode="General" sourceLinked="1"/>
        <c:majorTickMark val="out"/>
        <c:minorTickMark val="none"/>
        <c:tickLblPos val="nextTo"/>
        <c:spPr>
          <a:noFill/>
          <a:ln w="6350" cap="flat" cmpd="sng" algn="ctr">
            <a:solidFill>
              <a:srgbClr val="797766"/>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da-DK"/>
          </a:p>
        </c:txPr>
        <c:crossAx val="513393320"/>
        <c:crosses val="autoZero"/>
        <c:auto val="1"/>
        <c:lblAlgn val="ctr"/>
        <c:lblOffset val="100"/>
        <c:noMultiLvlLbl val="0"/>
      </c:catAx>
      <c:valAx>
        <c:axId val="513393320"/>
        <c:scaling>
          <c:orientation val="minMax"/>
        </c:scaling>
        <c:delete val="1"/>
        <c:axPos val="l"/>
        <c:numFmt formatCode="#,##0" sourceLinked="1"/>
        <c:majorTickMark val="out"/>
        <c:minorTickMark val="none"/>
        <c:tickLblPos val="nextTo"/>
        <c:crossAx val="513392928"/>
        <c:crosses val="autoZero"/>
        <c:crossBetween val="between"/>
      </c:valAx>
      <c:spPr>
        <a:noFill/>
        <a:ln w="25400">
          <a:noFill/>
        </a:ln>
        <a:effectLst/>
      </c:spPr>
    </c:plotArea>
    <c:plotVisOnly val="1"/>
    <c:dispBlanksAs val="gap"/>
    <c:showDLblsOverMax val="0"/>
  </c:chart>
  <c:spPr>
    <a:noFill/>
    <a:ln w="6350" cap="flat" cmpd="sng" algn="ctr">
      <a:noFill/>
      <a:round/>
    </a:ln>
    <a:effectLst/>
  </c:spPr>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da-DK"/>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688731</xdr:colOff>
      <xdr:row>39</xdr:row>
      <xdr:rowOff>95250</xdr:rowOff>
    </xdr:from>
    <xdr:to>
      <xdr:col>11</xdr:col>
      <xdr:colOff>1516673</xdr:colOff>
      <xdr:row>42</xdr:row>
      <xdr:rowOff>7325</xdr:rowOff>
    </xdr:to>
    <xdr:pic>
      <xdr:nvPicPr>
        <xdr:cNvPr id="2" name="Picture 1">
          <a:extLst>
            <a:ext uri="{FF2B5EF4-FFF2-40B4-BE49-F238E27FC236}">
              <a16:creationId xmlns:a16="http://schemas.microsoft.com/office/drawing/2014/main" id="{12A69C17-7B04-429A-BD81-6C9F351A72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6981" y="6419850"/>
          <a:ext cx="1599467" cy="34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47626</xdr:colOff>
      <xdr:row>27</xdr:row>
      <xdr:rowOff>57150</xdr:rowOff>
    </xdr:from>
    <xdr:to>
      <xdr:col>8</xdr:col>
      <xdr:colOff>1381126</xdr:colOff>
      <xdr:row>30</xdr:row>
      <xdr:rowOff>57149</xdr:rowOff>
    </xdr:to>
    <xdr:pic>
      <xdr:nvPicPr>
        <xdr:cNvPr id="3" name="Picture 2">
          <a:extLst>
            <a:ext uri="{FF2B5EF4-FFF2-40B4-BE49-F238E27FC236}">
              <a16:creationId xmlns:a16="http://schemas.microsoft.com/office/drawing/2014/main" id="{25456D67-AF55-4F85-995B-6C41FA9199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19951" y="6410325"/>
          <a:ext cx="2076450" cy="428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342900</xdr:colOff>
      <xdr:row>33</xdr:row>
      <xdr:rowOff>33425</xdr:rowOff>
    </xdr:from>
    <xdr:to>
      <xdr:col>11</xdr:col>
      <xdr:colOff>28575</xdr:colOff>
      <xdr:row>36</xdr:row>
      <xdr:rowOff>0</xdr:rowOff>
    </xdr:to>
    <xdr:pic>
      <xdr:nvPicPr>
        <xdr:cNvPr id="2" name="Picture 1">
          <a:extLst>
            <a:ext uri="{FF2B5EF4-FFF2-40B4-BE49-F238E27FC236}">
              <a16:creationId xmlns:a16="http://schemas.microsoft.com/office/drawing/2014/main" id="{7FE2AEF5-CDCE-4851-A8D4-363A641C61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67575" y="5719850"/>
          <a:ext cx="1914525" cy="395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200025</xdr:colOff>
      <xdr:row>128</xdr:row>
      <xdr:rowOff>28575</xdr:rowOff>
    </xdr:from>
    <xdr:to>
      <xdr:col>14</xdr:col>
      <xdr:colOff>628650</xdr:colOff>
      <xdr:row>130</xdr:row>
      <xdr:rowOff>138025</xdr:rowOff>
    </xdr:to>
    <xdr:pic>
      <xdr:nvPicPr>
        <xdr:cNvPr id="3" name="Picture 2">
          <a:extLst>
            <a:ext uri="{FF2B5EF4-FFF2-40B4-BE49-F238E27FC236}">
              <a16:creationId xmlns:a16="http://schemas.microsoft.com/office/drawing/2014/main" id="{E8C160EF-2C18-4C5B-94A9-53EFBEFD59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3675" y="18592800"/>
          <a:ext cx="1914525" cy="395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404812</xdr:colOff>
      <xdr:row>17</xdr:row>
      <xdr:rowOff>107156</xdr:rowOff>
    </xdr:from>
    <xdr:to>
      <xdr:col>23</xdr:col>
      <xdr:colOff>527441</xdr:colOff>
      <xdr:row>41</xdr:row>
      <xdr:rowOff>57830</xdr:rowOff>
    </xdr:to>
    <xdr:graphicFrame macro="">
      <xdr:nvGraphicFramePr>
        <xdr:cNvPr id="5" name="Chart 4"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right,chart,center&quot; IsRe=&quot;1&quot; /&gt;&#10;      &lt;/Value&gt;&#10;    &lt;/Item&gt;&#10;    &lt;Item&gt;&#10;      &lt;Key&gt;&#10;        &lt;int&gt;2&lt;/int&gt;&#10;      &lt;/Key&gt;&#10;      &lt;Value&gt;&#10;        &lt;Cmd case=&quot;axis_title_pos&quot; val=&quot;primary,x&quot; pos=&quot;right&quot; IsRe=&quot;1&quot; /&gt;&#10;      &lt;/Value&gt;&#10;    &lt;/Item&gt;&#10;    &lt;Item&gt;&#10;      &lt;Key&gt;&#10;        &lt;int&gt;3&lt;/int&gt;&#10;      &lt;/Key&gt;&#10;      &lt;Value&gt;&#10;        &lt;Cmd case=&quot;axis_title_pos&quot; val=&quot;primary,y&quot; pos=&quot;right&quot; IsRe=&quot;1&quot; /&gt;&#10;      &lt;/Value&gt;&#10;    &lt;/Item&gt;&#10;    &lt;Item&gt;&#10;      &lt;Key&gt;&#10;        &lt;int&gt;-1&lt;/int&gt;&#10;      &lt;/Key&gt;&#10;      &lt;Value&gt;&#10;        &lt;Cmd case=&quot;copy_fill&quot; input=&quot;@templ&quot; hc-path=&quot;C:\Users\ngv\AppData\Local\OfficeExtensions\Content\CorporateCharts\Ramboll Secondary&quot; IsRe=&quot;1&quot; /&gt;&#10;      &lt;/Value&gt;&#10;    &lt;/Item&gt;&#10;  &lt;/FunctionHistory&gt;&#10;  &lt;TypeSet&gt;true&lt;/TypeSet&gt;&#10;  &lt;ChartType&gt;51&lt;/ChartType&gt;&#10;  &lt;UsedPath&gt;C:\Users\ngv\AppData\Local\OfficeExtensions\Content\CorporateCharts\Column Chart&lt;/UsedPath&gt;&#10;&lt;/ChartInfo&gt;">
          <a:extLst>
            <a:ext uri="{FF2B5EF4-FFF2-40B4-BE49-F238E27FC236}">
              <a16:creationId xmlns:a16="http://schemas.microsoft.com/office/drawing/2014/main" id="{942A1D87-E0F8-40D1-BEFC-879D945C37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101202</xdr:colOff>
      <xdr:row>17</xdr:row>
      <xdr:rowOff>140494</xdr:rowOff>
    </xdr:from>
    <xdr:to>
      <xdr:col>14</xdr:col>
      <xdr:colOff>345281</xdr:colOff>
      <xdr:row>42</xdr:row>
      <xdr:rowOff>107156</xdr:rowOff>
    </xdr:to>
    <xdr:graphicFrame macro="">
      <xdr:nvGraphicFramePr>
        <xdr:cNvPr id="3" name="Chart 2">
          <a:extLst>
            <a:ext uri="{FF2B5EF4-FFF2-40B4-BE49-F238E27FC236}">
              <a16:creationId xmlns:a16="http://schemas.microsoft.com/office/drawing/2014/main" id="{A8ABBEA8-A55E-4D45-8CB5-EE84741390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23</xdr:col>
      <xdr:colOff>47625</xdr:colOff>
      <xdr:row>59</xdr:row>
      <xdr:rowOff>83344</xdr:rowOff>
    </xdr:from>
    <xdr:to>
      <xdr:col>25</xdr:col>
      <xdr:colOff>485775</xdr:colOff>
      <xdr:row>62</xdr:row>
      <xdr:rowOff>49919</xdr:rowOff>
    </xdr:to>
    <xdr:pic>
      <xdr:nvPicPr>
        <xdr:cNvPr id="6" name="Picture 5">
          <a:extLst>
            <a:ext uri="{FF2B5EF4-FFF2-40B4-BE49-F238E27FC236}">
              <a16:creationId xmlns:a16="http://schemas.microsoft.com/office/drawing/2014/main" id="{DE2CC94D-53B4-4555-BD6D-29145C81FB9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776156" y="9965532"/>
          <a:ext cx="1914525" cy="395200"/>
        </a:xfrm>
        <a:prstGeom prst="rect">
          <a:avLst/>
        </a:prstGeom>
      </xdr:spPr>
    </xdr:pic>
    <xdr:clientData/>
  </xdr:twoCellAnchor>
</xdr:wsDr>
</file>

<file path=xl/theme/theme1.xml><?xml version="1.0" encoding="utf-8"?>
<a:theme xmlns:a="http://schemas.openxmlformats.org/drawingml/2006/main" name="Ramboll">
  <a:themeElements>
    <a:clrScheme name="Ramboll">
      <a:dk1>
        <a:sysClr val="windowText" lastClr="000000"/>
      </a:dk1>
      <a:lt1>
        <a:sysClr val="window" lastClr="FFFFFF"/>
      </a:lt1>
      <a:dk2>
        <a:srgbClr val="009DE0"/>
      </a:dk2>
      <a:lt2>
        <a:srgbClr val="797766"/>
      </a:lt2>
      <a:accent1>
        <a:srgbClr val="A7D3F5"/>
      </a:accent1>
      <a:accent2>
        <a:srgbClr val="5CA551"/>
      </a:accent2>
      <a:accent3>
        <a:srgbClr val="A1BF36"/>
      </a:accent3>
      <a:accent4>
        <a:srgbClr val="C40079"/>
      </a:accent4>
      <a:accent5>
        <a:srgbClr val="C63418"/>
      </a:accent5>
      <a:accent6>
        <a:srgbClr val="D0CFC5"/>
      </a:accent6>
      <a:hlink>
        <a:srgbClr val="0000FF"/>
      </a:hlink>
      <a:folHlink>
        <a:srgbClr val="800080"/>
      </a:folHlink>
    </a:clrScheme>
    <a:fontScheme name="Ramboll">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tabSelected="1" zoomScale="85" zoomScaleNormal="85" workbookViewId="0">
      <selection activeCell="B43" sqref="B43"/>
    </sheetView>
  </sheetViews>
  <sheetFormatPr defaultColWidth="0" defaultRowHeight="11.25" customHeight="1" zeroHeight="1" x14ac:dyDescent="0.2"/>
  <cols>
    <col min="1" max="1" width="12.3984375" style="127" customWidth="1"/>
    <col min="2" max="2" width="15.69921875" style="127" customWidth="1"/>
    <col min="3" max="3" width="20.59765625" style="127" customWidth="1"/>
    <col min="4" max="4" width="10.19921875" style="127" bestFit="1" customWidth="1"/>
    <col min="5" max="6" width="9.09765625" style="127" customWidth="1"/>
    <col min="7" max="10" width="9.69921875" style="127" customWidth="1"/>
    <col min="11" max="11" width="10.09765625" style="127" customWidth="1"/>
    <col min="12" max="12" width="26.09765625" style="127" customWidth="1"/>
    <col min="13" max="13" width="0" style="129" hidden="1" customWidth="1"/>
    <col min="14" max="16384" width="9.69921875" style="129" hidden="1"/>
  </cols>
  <sheetData>
    <row r="1" spans="1:13" ht="19.5" customHeight="1" x14ac:dyDescent="0.3">
      <c r="B1" s="128"/>
    </row>
    <row r="2" spans="1:13" ht="23.25" customHeight="1" x14ac:dyDescent="0.2">
      <c r="B2" s="130"/>
      <c r="I2" s="131"/>
      <c r="J2" s="131"/>
      <c r="K2" s="131"/>
      <c r="M2" s="132"/>
    </row>
    <row r="3" spans="1:13" ht="11.4" x14ac:dyDescent="0.2"/>
    <row r="4" spans="1:13" s="135" customFormat="1" ht="11.4" x14ac:dyDescent="0.2">
      <c r="A4" s="133"/>
      <c r="B4" s="134"/>
      <c r="C4" s="133"/>
      <c r="D4" s="133"/>
      <c r="E4" s="133"/>
      <c r="F4" s="133"/>
      <c r="G4" s="133"/>
      <c r="H4" s="133"/>
      <c r="I4" s="133"/>
      <c r="J4" s="133"/>
      <c r="K4" s="133"/>
      <c r="L4" s="133"/>
    </row>
    <row r="5" spans="1:13" s="135" customFormat="1" ht="11.4" x14ac:dyDescent="0.2">
      <c r="A5" s="133"/>
      <c r="B5" s="136"/>
      <c r="C5" s="137"/>
      <c r="D5" s="138"/>
      <c r="E5" s="136"/>
      <c r="F5" s="136"/>
      <c r="G5" s="136"/>
      <c r="H5" s="136"/>
      <c r="I5" s="136"/>
      <c r="J5" s="136"/>
      <c r="K5" s="136"/>
      <c r="L5" s="133"/>
    </row>
    <row r="6" spans="1:13" s="135" customFormat="1" ht="11.4" x14ac:dyDescent="0.2">
      <c r="A6" s="133"/>
      <c r="B6" s="137"/>
      <c r="C6" s="137"/>
      <c r="D6" s="138"/>
      <c r="E6" s="136"/>
      <c r="F6" s="136"/>
      <c r="G6" s="136"/>
      <c r="H6" s="136"/>
      <c r="I6" s="136"/>
      <c r="J6" s="136"/>
      <c r="K6" s="136"/>
      <c r="L6" s="133"/>
    </row>
    <row r="7" spans="1:13" s="135" customFormat="1" ht="11.4" x14ac:dyDescent="0.2">
      <c r="A7" s="133"/>
      <c r="B7" s="178" t="s">
        <v>109</v>
      </c>
      <c r="C7" s="178"/>
      <c r="D7" s="178"/>
      <c r="E7" s="178"/>
      <c r="F7" s="178"/>
      <c r="G7" s="178"/>
      <c r="H7" s="178"/>
      <c r="I7" s="178"/>
      <c r="J7" s="178"/>
      <c r="K7" s="178"/>
      <c r="L7" s="133"/>
    </row>
    <row r="8" spans="1:13" s="135" customFormat="1" ht="11.4" x14ac:dyDescent="0.2">
      <c r="A8" s="133"/>
      <c r="B8" s="178"/>
      <c r="C8" s="178"/>
      <c r="D8" s="178"/>
      <c r="E8" s="178"/>
      <c r="F8" s="178"/>
      <c r="G8" s="178"/>
      <c r="H8" s="178"/>
      <c r="I8" s="178"/>
      <c r="J8" s="178"/>
      <c r="K8" s="178"/>
      <c r="L8" s="133"/>
    </row>
    <row r="9" spans="1:13" s="135" customFormat="1" ht="11.4" x14ac:dyDescent="0.2">
      <c r="A9" s="133"/>
      <c r="B9" s="178"/>
      <c r="C9" s="178"/>
      <c r="D9" s="178"/>
      <c r="E9" s="178"/>
      <c r="F9" s="178"/>
      <c r="G9" s="178"/>
      <c r="H9" s="178"/>
      <c r="I9" s="178"/>
      <c r="J9" s="178"/>
      <c r="K9" s="178"/>
      <c r="L9" s="133"/>
    </row>
    <row r="10" spans="1:13" s="135" customFormat="1" ht="11.4" x14ac:dyDescent="0.2">
      <c r="A10" s="133"/>
      <c r="B10" s="178"/>
      <c r="C10" s="178"/>
      <c r="D10" s="178"/>
      <c r="E10" s="178"/>
      <c r="F10" s="178"/>
      <c r="G10" s="178"/>
      <c r="H10" s="178"/>
      <c r="I10" s="178"/>
      <c r="J10" s="178"/>
      <c r="K10" s="178"/>
      <c r="L10" s="133"/>
    </row>
    <row r="11" spans="1:13" s="135" customFormat="1" ht="11.4" x14ac:dyDescent="0.2">
      <c r="A11" s="133"/>
      <c r="B11" s="178"/>
      <c r="C11" s="178"/>
      <c r="D11" s="178"/>
      <c r="E11" s="178"/>
      <c r="F11" s="178"/>
      <c r="G11" s="178"/>
      <c r="H11" s="178"/>
      <c r="I11" s="178"/>
      <c r="J11" s="178"/>
      <c r="K11" s="178"/>
      <c r="L11" s="133"/>
    </row>
    <row r="12" spans="1:13" s="135" customFormat="1" ht="11.4" x14ac:dyDescent="0.2">
      <c r="A12" s="133"/>
      <c r="B12" s="178"/>
      <c r="C12" s="178"/>
      <c r="D12" s="178"/>
      <c r="E12" s="178"/>
      <c r="F12" s="178"/>
      <c r="G12" s="178"/>
      <c r="H12" s="178"/>
      <c r="I12" s="178"/>
      <c r="J12" s="178"/>
      <c r="K12" s="178"/>
      <c r="L12" s="133"/>
    </row>
    <row r="13" spans="1:13" s="135" customFormat="1" ht="51.75" customHeight="1" x14ac:dyDescent="0.2">
      <c r="A13" s="133"/>
      <c r="B13" s="178"/>
      <c r="C13" s="178"/>
      <c r="D13" s="178"/>
      <c r="E13" s="178"/>
      <c r="F13" s="178"/>
      <c r="G13" s="178"/>
      <c r="H13" s="178"/>
      <c r="I13" s="178"/>
      <c r="J13" s="178"/>
      <c r="K13" s="178"/>
      <c r="L13" s="133"/>
    </row>
    <row r="14" spans="1:13" s="135" customFormat="1" ht="11.4" x14ac:dyDescent="0.2">
      <c r="A14" s="133"/>
      <c r="B14" s="139"/>
      <c r="C14" s="139"/>
      <c r="D14" s="140"/>
      <c r="E14" s="127"/>
      <c r="F14" s="127"/>
      <c r="G14" s="127"/>
      <c r="H14" s="127"/>
      <c r="I14" s="127"/>
      <c r="J14" s="127"/>
      <c r="K14" s="127"/>
      <c r="L14" s="133"/>
    </row>
    <row r="15" spans="1:13" s="135" customFormat="1" ht="11.4" x14ac:dyDescent="0.2">
      <c r="A15" s="133"/>
      <c r="B15" s="141"/>
      <c r="C15" s="139"/>
      <c r="D15" s="140"/>
      <c r="E15" s="127"/>
      <c r="F15" s="127"/>
      <c r="G15" s="127"/>
      <c r="H15" s="127"/>
      <c r="I15" s="127"/>
      <c r="J15" s="127"/>
      <c r="K15" s="127"/>
      <c r="L15" s="133"/>
    </row>
    <row r="16" spans="1:13" s="135" customFormat="1" ht="11.4" x14ac:dyDescent="0.2">
      <c r="A16" s="133"/>
      <c r="B16" s="142"/>
      <c r="C16" s="139"/>
      <c r="D16" s="140"/>
      <c r="E16" s="127"/>
      <c r="F16" s="127"/>
      <c r="G16" s="127"/>
      <c r="H16" s="127"/>
      <c r="I16" s="127"/>
      <c r="J16" s="127"/>
      <c r="K16" s="127"/>
      <c r="L16" s="133"/>
    </row>
    <row r="17" spans="1:12" s="135" customFormat="1" ht="11.4" x14ac:dyDescent="0.2">
      <c r="A17" s="133"/>
      <c r="B17" s="142"/>
      <c r="C17" s="139"/>
      <c r="D17" s="140"/>
      <c r="E17" s="127"/>
      <c r="F17" s="127"/>
      <c r="G17" s="127"/>
      <c r="H17" s="127"/>
      <c r="I17" s="127"/>
      <c r="J17" s="127"/>
      <c r="K17" s="127"/>
      <c r="L17" s="133"/>
    </row>
    <row r="18" spans="1:12" s="135" customFormat="1" ht="11.4" x14ac:dyDescent="0.2">
      <c r="A18" s="133"/>
      <c r="B18" s="142"/>
      <c r="C18" s="139"/>
      <c r="D18" s="140"/>
      <c r="E18" s="127"/>
      <c r="F18" s="127"/>
      <c r="G18" s="127"/>
      <c r="H18" s="127"/>
      <c r="I18" s="127"/>
      <c r="J18" s="127"/>
      <c r="K18" s="127"/>
      <c r="L18" s="133"/>
    </row>
    <row r="19" spans="1:12" s="135" customFormat="1" ht="11.4" x14ac:dyDescent="0.2">
      <c r="A19" s="133"/>
      <c r="B19" s="139"/>
      <c r="C19" s="139"/>
      <c r="D19" s="140"/>
      <c r="E19" s="127"/>
      <c r="F19" s="127"/>
      <c r="G19" s="127"/>
      <c r="H19" s="127"/>
      <c r="I19" s="127"/>
      <c r="J19" s="127"/>
      <c r="K19" s="127"/>
      <c r="L19" s="133"/>
    </row>
    <row r="20" spans="1:12" s="135" customFormat="1" ht="11.4" x14ac:dyDescent="0.2">
      <c r="A20" s="133"/>
      <c r="B20" s="143"/>
      <c r="C20" s="139"/>
      <c r="D20" s="138"/>
      <c r="E20" s="127"/>
      <c r="F20" s="127"/>
      <c r="G20" s="127"/>
      <c r="H20" s="127"/>
      <c r="I20" s="127"/>
      <c r="J20" s="127"/>
      <c r="K20" s="127"/>
      <c r="L20" s="133"/>
    </row>
    <row r="21" spans="1:12" ht="11.4" x14ac:dyDescent="0.2"/>
    <row r="22" spans="1:12" s="135" customFormat="1" ht="11.4" x14ac:dyDescent="0.2">
      <c r="A22" s="133"/>
      <c r="B22" s="134"/>
      <c r="C22" s="133"/>
      <c r="D22" s="133"/>
      <c r="E22" s="133"/>
      <c r="F22" s="133"/>
      <c r="G22" s="133"/>
      <c r="H22" s="133"/>
      <c r="I22" s="133"/>
      <c r="J22" s="133"/>
      <c r="K22" s="133"/>
      <c r="L22" s="133"/>
    </row>
    <row r="23" spans="1:12" s="135" customFormat="1" ht="9.75" customHeight="1" x14ac:dyDescent="0.2">
      <c r="A23" s="133"/>
      <c r="B23" s="144"/>
      <c r="C23" s="136"/>
      <c r="D23" s="136"/>
      <c r="E23" s="136"/>
      <c r="F23" s="136"/>
      <c r="G23" s="136"/>
      <c r="H23" s="136"/>
      <c r="I23" s="136"/>
      <c r="J23" s="136"/>
      <c r="K23" s="136"/>
      <c r="L23" s="133"/>
    </row>
    <row r="24" spans="1:12" s="135" customFormat="1" ht="11.4" x14ac:dyDescent="0.2">
      <c r="A24" s="133"/>
      <c r="B24" s="145"/>
      <c r="C24" s="137"/>
      <c r="D24" s="146"/>
      <c r="E24" s="136"/>
      <c r="F24" s="136"/>
      <c r="G24" s="136"/>
      <c r="H24" s="136"/>
      <c r="I24" s="136"/>
      <c r="J24" s="136"/>
      <c r="K24" s="136"/>
      <c r="L24" s="133"/>
    </row>
    <row r="25" spans="1:12" s="135" customFormat="1" ht="11.4" x14ac:dyDescent="0.2">
      <c r="A25" s="133"/>
      <c r="B25" s="145"/>
      <c r="C25" s="139"/>
      <c r="D25" s="146"/>
      <c r="E25" s="136"/>
      <c r="F25" s="143"/>
      <c r="G25" s="136"/>
      <c r="H25" s="136"/>
      <c r="I25" s="136"/>
      <c r="J25" s="136"/>
      <c r="K25" s="136"/>
      <c r="L25" s="133"/>
    </row>
    <row r="26" spans="1:12" s="135" customFormat="1" ht="11.4" x14ac:dyDescent="0.2">
      <c r="A26" s="133"/>
      <c r="B26" s="145"/>
      <c r="C26" s="136"/>
      <c r="D26" s="146"/>
      <c r="E26" s="136"/>
      <c r="F26" s="136"/>
      <c r="G26" s="136"/>
      <c r="H26" s="136"/>
      <c r="I26" s="136"/>
      <c r="J26" s="136"/>
      <c r="K26" s="136"/>
      <c r="L26" s="133"/>
    </row>
    <row r="27" spans="1:12" s="135" customFormat="1" ht="11.4" x14ac:dyDescent="0.2">
      <c r="A27" s="133"/>
      <c r="B27" s="147"/>
      <c r="C27" s="136"/>
      <c r="D27" s="146"/>
      <c r="E27" s="136"/>
      <c r="F27" s="136"/>
      <c r="G27" s="136"/>
      <c r="H27" s="136"/>
      <c r="I27" s="136"/>
      <c r="J27" s="136"/>
      <c r="K27" s="136"/>
      <c r="L27" s="133"/>
    </row>
    <row r="28" spans="1:12" s="135" customFormat="1" ht="11.4" x14ac:dyDescent="0.2">
      <c r="A28" s="133"/>
      <c r="B28" s="145"/>
      <c r="C28" s="137"/>
      <c r="D28" s="146"/>
      <c r="E28" s="136"/>
      <c r="F28" s="136"/>
      <c r="G28" s="136"/>
      <c r="H28" s="136"/>
      <c r="I28" s="136"/>
      <c r="J28" s="136"/>
      <c r="K28" s="136"/>
      <c r="L28" s="133"/>
    </row>
    <row r="29" spans="1:12" s="135" customFormat="1" ht="11.4" x14ac:dyDescent="0.2">
      <c r="A29" s="133"/>
      <c r="B29" s="145"/>
      <c r="C29" s="139"/>
      <c r="D29" s="146"/>
      <c r="E29" s="136"/>
      <c r="F29" s="143"/>
      <c r="G29" s="136"/>
      <c r="H29" s="136"/>
      <c r="I29" s="136"/>
      <c r="J29" s="136"/>
      <c r="K29" s="136"/>
      <c r="L29" s="133"/>
    </row>
    <row r="30" spans="1:12" s="135" customFormat="1" ht="11.4" x14ac:dyDescent="0.2">
      <c r="A30" s="133"/>
      <c r="B30" s="145"/>
      <c r="C30" s="136"/>
      <c r="D30" s="146"/>
      <c r="E30" s="136"/>
      <c r="F30" s="136"/>
      <c r="G30" s="136"/>
      <c r="H30" s="136"/>
      <c r="I30" s="136"/>
      <c r="J30" s="136"/>
      <c r="K30" s="136"/>
      <c r="L30" s="133"/>
    </row>
    <row r="31" spans="1:12" s="135" customFormat="1" ht="11.4" x14ac:dyDescent="0.2">
      <c r="A31" s="133"/>
      <c r="B31" s="147"/>
      <c r="C31" s="136"/>
      <c r="D31" s="146"/>
      <c r="E31" s="136"/>
      <c r="F31" s="136"/>
      <c r="G31" s="136"/>
      <c r="H31" s="136"/>
      <c r="I31" s="136"/>
      <c r="J31" s="136"/>
      <c r="K31" s="136"/>
      <c r="L31" s="133"/>
    </row>
    <row r="32" spans="1:12" s="135" customFormat="1" ht="11.4" x14ac:dyDescent="0.2">
      <c r="A32" s="133"/>
      <c r="B32" s="145"/>
      <c r="C32" s="137"/>
      <c r="D32" s="146"/>
      <c r="E32" s="136"/>
      <c r="F32" s="136"/>
      <c r="G32" s="136"/>
      <c r="H32" s="136"/>
      <c r="I32" s="136"/>
      <c r="J32" s="136"/>
      <c r="K32" s="136"/>
      <c r="L32" s="133"/>
    </row>
    <row r="33" spans="1:12" s="135" customFormat="1" ht="11.4" x14ac:dyDescent="0.2">
      <c r="A33" s="133"/>
      <c r="B33" s="148" t="s">
        <v>108</v>
      </c>
      <c r="C33" s="139"/>
      <c r="D33" s="146"/>
      <c r="E33" s="136"/>
      <c r="F33" s="143"/>
      <c r="G33" s="136"/>
      <c r="H33" s="136"/>
      <c r="I33" s="136"/>
      <c r="J33" s="136"/>
      <c r="K33" s="136"/>
      <c r="L33" s="133"/>
    </row>
    <row r="34" spans="1:12" s="135" customFormat="1" ht="11.4" x14ac:dyDescent="0.2">
      <c r="A34" s="133"/>
      <c r="B34" s="133" t="s">
        <v>106</v>
      </c>
      <c r="C34" s="136"/>
      <c r="D34" s="146"/>
      <c r="E34" s="136"/>
      <c r="F34" s="136"/>
      <c r="G34" s="136"/>
      <c r="H34" s="136"/>
      <c r="I34" s="136"/>
      <c r="J34" s="136"/>
      <c r="K34" s="136"/>
      <c r="L34" s="133"/>
    </row>
    <row r="35" spans="1:12" s="135" customFormat="1" ht="11.4" x14ac:dyDescent="0.2">
      <c r="A35" s="133"/>
      <c r="B35" s="148" t="s">
        <v>107</v>
      </c>
      <c r="C35" s="136"/>
      <c r="D35" s="146"/>
      <c r="E35" s="136"/>
      <c r="F35" s="136"/>
      <c r="G35" s="136"/>
      <c r="H35" s="136"/>
      <c r="I35" s="136"/>
      <c r="J35" s="136"/>
      <c r="K35" s="136"/>
      <c r="L35" s="133"/>
    </row>
    <row r="36" spans="1:12" s="135" customFormat="1" ht="11.4" x14ac:dyDescent="0.2">
      <c r="A36" s="133"/>
      <c r="B36" s="145"/>
      <c r="C36" s="137"/>
      <c r="D36" s="146"/>
      <c r="E36" s="136"/>
      <c r="F36" s="136"/>
      <c r="G36" s="136"/>
      <c r="H36" s="136"/>
      <c r="I36" s="136"/>
      <c r="J36" s="136"/>
      <c r="K36" s="136"/>
      <c r="L36" s="149"/>
    </row>
    <row r="37" spans="1:12" s="135" customFormat="1" ht="11.4" x14ac:dyDescent="0.2">
      <c r="A37" s="133"/>
      <c r="B37" s="145"/>
      <c r="C37" s="139"/>
      <c r="D37" s="146"/>
      <c r="E37" s="136"/>
      <c r="F37" s="143"/>
      <c r="G37" s="136"/>
      <c r="H37" s="136"/>
      <c r="I37" s="136"/>
      <c r="J37" s="136"/>
      <c r="K37" s="136"/>
      <c r="L37" s="133"/>
    </row>
    <row r="38" spans="1:12" s="135" customFormat="1" ht="11.4" x14ac:dyDescent="0.2">
      <c r="A38" s="133"/>
      <c r="B38" s="145"/>
      <c r="C38" s="136"/>
      <c r="D38" s="146"/>
      <c r="E38" s="136"/>
      <c r="F38" s="136"/>
      <c r="G38" s="136"/>
      <c r="H38" s="136"/>
      <c r="I38" s="136"/>
      <c r="J38" s="136"/>
      <c r="K38" s="136"/>
      <c r="L38" s="133"/>
    </row>
    <row r="39" spans="1:12" s="135" customFormat="1" ht="11.4" x14ac:dyDescent="0.2">
      <c r="A39" s="133"/>
      <c r="B39" s="147"/>
      <c r="C39" s="136"/>
      <c r="D39" s="146"/>
      <c r="E39" s="136"/>
      <c r="F39" s="136"/>
      <c r="G39" s="136"/>
      <c r="H39" s="136"/>
      <c r="I39" s="136"/>
      <c r="J39" s="136"/>
      <c r="K39" s="136"/>
      <c r="L39" s="133"/>
    </row>
    <row r="40" spans="1:12" s="135" customFormat="1" ht="11.4" x14ac:dyDescent="0.2">
      <c r="A40" s="133"/>
      <c r="B40" s="145"/>
      <c r="C40" s="137"/>
      <c r="D40" s="146"/>
      <c r="E40" s="136"/>
      <c r="F40" s="136"/>
      <c r="G40" s="136"/>
      <c r="H40" s="136"/>
      <c r="I40" s="136"/>
      <c r="J40" s="136"/>
      <c r="K40" s="136"/>
      <c r="L40" s="133"/>
    </row>
    <row r="41" spans="1:12" s="135" customFormat="1" ht="11.4" x14ac:dyDescent="0.2">
      <c r="A41" s="133"/>
      <c r="B41" s="145"/>
      <c r="C41" s="139"/>
      <c r="D41" s="146"/>
      <c r="E41" s="136"/>
      <c r="F41" s="143"/>
      <c r="G41" s="136"/>
      <c r="H41" s="136"/>
      <c r="I41" s="136"/>
      <c r="J41" s="136"/>
      <c r="K41" s="136"/>
      <c r="L41" s="133"/>
    </row>
    <row r="42" spans="1:12" s="135" customFormat="1" ht="11.4" x14ac:dyDescent="0.2">
      <c r="A42" s="133"/>
      <c r="B42" s="145"/>
      <c r="C42" s="136"/>
      <c r="D42" s="146"/>
      <c r="E42" s="136"/>
      <c r="F42" s="136"/>
      <c r="G42" s="136"/>
      <c r="H42" s="136"/>
      <c r="I42" s="136"/>
      <c r="J42" s="136"/>
      <c r="K42" s="136"/>
      <c r="L42" s="133"/>
    </row>
    <row r="43" spans="1:12" s="135" customFormat="1" ht="11.4" x14ac:dyDescent="0.2">
      <c r="A43" s="133"/>
      <c r="B43" s="144"/>
      <c r="C43" s="136"/>
      <c r="D43" s="146"/>
      <c r="E43" s="136"/>
      <c r="F43" s="136"/>
      <c r="G43" s="136"/>
      <c r="H43" s="136"/>
      <c r="I43" s="136"/>
      <c r="J43" s="136"/>
      <c r="K43" s="136"/>
      <c r="L43" s="133"/>
    </row>
    <row r="44" spans="1:12" ht="11.4" x14ac:dyDescent="0.2">
      <c r="B44" s="145"/>
      <c r="C44" s="137"/>
      <c r="D44" s="146"/>
      <c r="E44" s="136"/>
      <c r="F44" s="136"/>
      <c r="G44" s="136"/>
      <c r="H44" s="136"/>
      <c r="I44" s="136"/>
      <c r="J44" s="136"/>
      <c r="K44" s="136"/>
    </row>
    <row r="45" spans="1:12" ht="11.4" x14ac:dyDescent="0.2">
      <c r="B45" s="145"/>
      <c r="C45" s="139"/>
      <c r="D45" s="146"/>
      <c r="F45" s="143"/>
    </row>
    <row r="46" spans="1:12" ht="11.4" hidden="1" x14ac:dyDescent="0.2">
      <c r="B46" s="145"/>
      <c r="C46" s="136"/>
      <c r="D46" s="146"/>
      <c r="E46" s="149"/>
      <c r="F46" s="149"/>
    </row>
    <row r="47" spans="1:12" ht="11.4" hidden="1" x14ac:dyDescent="0.2">
      <c r="B47" s="143"/>
      <c r="C47" s="139"/>
      <c r="D47" s="150"/>
      <c r="E47" s="149"/>
      <c r="F47" s="149"/>
    </row>
    <row r="48" spans="1:12" ht="11.4" hidden="1" x14ac:dyDescent="0.2">
      <c r="B48" s="137"/>
      <c r="C48" s="139"/>
    </row>
    <row r="49" spans="2:3" ht="11.4" hidden="1" x14ac:dyDescent="0.2"/>
    <row r="50" spans="2:3" ht="11.4" hidden="1" x14ac:dyDescent="0.2">
      <c r="B50" s="151"/>
      <c r="C50" s="152"/>
    </row>
    <row r="51" spans="2:3" ht="11.4" hidden="1" x14ac:dyDescent="0.2">
      <c r="B51" s="149"/>
    </row>
    <row r="52" spans="2:3" ht="11.4" hidden="1" x14ac:dyDescent="0.2">
      <c r="B52" s="149"/>
    </row>
    <row r="53" spans="2:3" ht="11.4" hidden="1" x14ac:dyDescent="0.2"/>
    <row r="54" spans="2:3" ht="11.4" hidden="1" x14ac:dyDescent="0.2"/>
    <row r="55" spans="2:3" ht="11.4" hidden="1" x14ac:dyDescent="0.2"/>
    <row r="56" spans="2:3" ht="11.4" hidden="1" x14ac:dyDescent="0.2"/>
    <row r="57" spans="2:3" ht="11.4" hidden="1" x14ac:dyDescent="0.2"/>
    <row r="58" spans="2:3" ht="11.4" hidden="1" x14ac:dyDescent="0.2"/>
    <row r="59" spans="2:3" ht="11.4" hidden="1" x14ac:dyDescent="0.2"/>
    <row r="60" spans="2:3" ht="11.4" hidden="1" x14ac:dyDescent="0.2"/>
    <row r="61" spans="2:3" ht="11.4" hidden="1" x14ac:dyDescent="0.2"/>
    <row r="62" spans="2:3" ht="11.4" hidden="1" x14ac:dyDescent="0.2"/>
    <row r="63" spans="2:3" ht="11.4" hidden="1" x14ac:dyDescent="0.2"/>
    <row r="64" spans="2:3" ht="11.4" hidden="1" x14ac:dyDescent="0.2"/>
  </sheetData>
  <mergeCells count="1">
    <mergeCell ref="B7:K13"/>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85" zoomScaleNormal="85" workbookViewId="0">
      <selection activeCell="E28" sqref="E28"/>
    </sheetView>
  </sheetViews>
  <sheetFormatPr defaultColWidth="0" defaultRowHeight="11.4" zeroHeight="1" x14ac:dyDescent="0.2"/>
  <cols>
    <col min="1" max="1" width="2.19921875" style="1" customWidth="1"/>
    <col min="2" max="2" width="42.59765625" style="4" customWidth="1"/>
    <col min="3" max="3" width="6.69921875" style="4" customWidth="1"/>
    <col min="4" max="4" width="10.19921875" style="4" bestFit="1" customWidth="1"/>
    <col min="5" max="5" width="11.69921875" style="4" customWidth="1"/>
    <col min="6" max="6" width="10.69921875" style="4" customWidth="1"/>
    <col min="7" max="8" width="9.69921875" style="4" customWidth="1"/>
    <col min="9" max="9" width="19.09765625" style="4" customWidth="1"/>
    <col min="10" max="10" width="4.09765625" style="44" customWidth="1"/>
    <col min="11" max="13" width="0" style="44" hidden="1" customWidth="1"/>
    <col min="14" max="16384" width="9.69921875" style="44" hidden="1"/>
  </cols>
  <sheetData>
    <row r="1" spans="1:13" ht="19.5" customHeight="1" x14ac:dyDescent="0.3">
      <c r="B1" s="2" t="s">
        <v>111</v>
      </c>
      <c r="C1" s="3"/>
      <c r="D1" s="3"/>
      <c r="E1" s="3"/>
      <c r="F1" s="3"/>
      <c r="G1" s="3"/>
      <c r="H1" s="3"/>
      <c r="I1" s="3"/>
    </row>
    <row r="2" spans="1:13" ht="23.25" customHeight="1" x14ac:dyDescent="0.2">
      <c r="B2" s="5" t="s">
        <v>110</v>
      </c>
      <c r="C2" s="3"/>
      <c r="D2" s="3"/>
      <c r="E2" s="3"/>
      <c r="F2" s="3"/>
      <c r="G2" s="3"/>
      <c r="H2" s="6"/>
      <c r="I2" s="6"/>
      <c r="J2" s="100"/>
      <c r="M2" s="100"/>
    </row>
    <row r="3" spans="1:13" x14ac:dyDescent="0.2"/>
    <row r="4" spans="1:13" x14ac:dyDescent="0.2">
      <c r="B4" s="9" t="s">
        <v>112</v>
      </c>
      <c r="C4" s="10"/>
      <c r="D4" s="10"/>
      <c r="E4" s="10"/>
      <c r="F4" s="10"/>
      <c r="G4" s="10"/>
      <c r="H4" s="10"/>
      <c r="I4" s="10"/>
    </row>
    <row r="5" spans="1:13" ht="29.25" customHeight="1" x14ac:dyDescent="0.2">
      <c r="B5" s="181" t="s">
        <v>128</v>
      </c>
      <c r="C5" s="181"/>
      <c r="D5" s="181"/>
      <c r="E5" s="181"/>
      <c r="F5" s="181"/>
      <c r="G5" s="181"/>
      <c r="H5" s="181"/>
      <c r="I5" s="181"/>
    </row>
    <row r="6" spans="1:13" ht="24.75" customHeight="1" x14ac:dyDescent="0.2">
      <c r="B6" s="181"/>
      <c r="C6" s="181"/>
      <c r="D6" s="181"/>
      <c r="E6" s="181"/>
      <c r="F6" s="181"/>
      <c r="G6" s="181"/>
      <c r="H6" s="181"/>
      <c r="I6" s="181"/>
    </row>
    <row r="7" spans="1:13" ht="18" customHeight="1" x14ac:dyDescent="0.2">
      <c r="B7" s="181"/>
      <c r="C7" s="181"/>
      <c r="D7" s="181"/>
      <c r="E7" s="181"/>
      <c r="F7" s="181"/>
      <c r="G7" s="181"/>
      <c r="H7" s="181"/>
      <c r="I7" s="181"/>
    </row>
    <row r="8" spans="1:13" x14ac:dyDescent="0.2">
      <c r="B8" s="182"/>
      <c r="C8" s="182"/>
      <c r="D8" s="182"/>
      <c r="E8" s="182"/>
      <c r="F8" s="182"/>
      <c r="G8" s="182"/>
      <c r="H8" s="182"/>
      <c r="I8" s="182"/>
    </row>
    <row r="9" spans="1:13" x14ac:dyDescent="0.2"/>
    <row r="10" spans="1:13" x14ac:dyDescent="0.2">
      <c r="A10" s="8"/>
      <c r="B10" s="9" t="s">
        <v>25</v>
      </c>
      <c r="C10" s="10"/>
      <c r="D10" s="10"/>
      <c r="E10" s="10"/>
      <c r="F10" s="10"/>
      <c r="G10" s="153" t="s">
        <v>114</v>
      </c>
      <c r="H10" s="153"/>
      <c r="I10" s="10"/>
    </row>
    <row r="11" spans="1:13" x14ac:dyDescent="0.2">
      <c r="B11" s="32" t="s">
        <v>132</v>
      </c>
      <c r="D11" s="32" t="s">
        <v>81</v>
      </c>
      <c r="E11" s="32"/>
      <c r="F11" s="32"/>
      <c r="G11" s="183" t="s">
        <v>115</v>
      </c>
      <c r="H11" s="183"/>
      <c r="I11" s="183"/>
    </row>
    <row r="12" spans="1:13" ht="11.25" customHeight="1" x14ac:dyDescent="0.2">
      <c r="B12" s="52" t="s">
        <v>113</v>
      </c>
      <c r="C12" s="1"/>
      <c r="D12" s="170">
        <f>DATEDIF("1-6-2018","30-9-2019","M")</f>
        <v>15</v>
      </c>
      <c r="E12" s="52"/>
      <c r="F12" s="52"/>
      <c r="G12" s="183"/>
      <c r="H12" s="183"/>
      <c r="I12" s="183"/>
    </row>
    <row r="13" spans="1:13" ht="11.25" customHeight="1" x14ac:dyDescent="0.2">
      <c r="B13" s="171"/>
      <c r="C13" s="172"/>
      <c r="D13" s="173"/>
      <c r="E13" s="101"/>
      <c r="F13" s="101"/>
      <c r="G13" s="184"/>
      <c r="H13" s="184"/>
      <c r="I13" s="184"/>
    </row>
    <row r="14" spans="1:13" x14ac:dyDescent="0.2">
      <c r="B14" s="32"/>
      <c r="D14" s="32"/>
      <c r="E14" s="32"/>
      <c r="F14" s="32"/>
      <c r="G14" s="32"/>
      <c r="H14" s="32"/>
      <c r="I14" s="32"/>
    </row>
    <row r="15" spans="1:13" x14ac:dyDescent="0.2">
      <c r="A15" s="8"/>
      <c r="B15" s="9" t="s">
        <v>116</v>
      </c>
      <c r="C15" s="10"/>
      <c r="D15" s="10"/>
      <c r="E15" s="10"/>
      <c r="F15" s="10"/>
      <c r="G15" s="10"/>
      <c r="H15" s="10"/>
      <c r="I15" s="10"/>
    </row>
    <row r="16" spans="1:13" ht="13.5" customHeight="1" x14ac:dyDescent="0.2">
      <c r="A16" s="79"/>
      <c r="B16" s="174" t="s">
        <v>117</v>
      </c>
      <c r="C16" s="79"/>
      <c r="D16" s="175">
        <v>9</v>
      </c>
      <c r="E16" s="179"/>
      <c r="F16" s="179"/>
      <c r="G16" s="179"/>
      <c r="H16" s="179"/>
      <c r="I16" s="179"/>
    </row>
    <row r="17" spans="1:9" x14ac:dyDescent="0.2">
      <c r="A17" s="79"/>
      <c r="B17" s="176" t="s">
        <v>118</v>
      </c>
      <c r="C17" s="176"/>
      <c r="D17" s="177">
        <v>7.2</v>
      </c>
      <c r="E17" s="180"/>
      <c r="F17" s="180"/>
      <c r="G17" s="180"/>
      <c r="H17" s="180"/>
      <c r="I17" s="180"/>
    </row>
    <row r="18" spans="1:9" x14ac:dyDescent="0.2">
      <c r="B18" s="32"/>
      <c r="D18" s="124"/>
      <c r="E18" s="124"/>
    </row>
    <row r="19" spans="1:9" x14ac:dyDescent="0.2">
      <c r="B19" s="9" t="s">
        <v>119</v>
      </c>
      <c r="C19" s="10"/>
      <c r="D19" s="10"/>
      <c r="E19" s="107" t="s">
        <v>90</v>
      </c>
      <c r="F19" s="107" t="s">
        <v>91</v>
      </c>
      <c r="G19" s="10"/>
      <c r="H19" s="10"/>
      <c r="I19" s="10"/>
    </row>
    <row r="20" spans="1:9" x14ac:dyDescent="0.2">
      <c r="B20" s="32" t="s">
        <v>120</v>
      </c>
      <c r="C20" s="4">
        <v>70</v>
      </c>
      <c r="D20" s="32" t="s">
        <v>92</v>
      </c>
    </row>
    <row r="21" spans="1:9" x14ac:dyDescent="0.2">
      <c r="B21" s="101" t="s">
        <v>121</v>
      </c>
      <c r="C21" s="154">
        <v>7.7777777777777777</v>
      </c>
      <c r="D21" s="101" t="s">
        <v>92</v>
      </c>
      <c r="E21" s="13"/>
      <c r="F21" s="13"/>
      <c r="G21" s="13"/>
      <c r="H21" s="13"/>
      <c r="I21" s="13"/>
    </row>
    <row r="22" spans="1:9" x14ac:dyDescent="0.2">
      <c r="B22" s="32"/>
    </row>
    <row r="23" spans="1:9" x14ac:dyDescent="0.2">
      <c r="A23" s="8"/>
      <c r="B23" s="9" t="s">
        <v>122</v>
      </c>
      <c r="C23" s="10"/>
      <c r="D23" s="10"/>
      <c r="E23" s="10"/>
      <c r="F23" s="10"/>
      <c r="G23" s="10"/>
      <c r="H23" s="10"/>
      <c r="I23" s="10"/>
    </row>
    <row r="24" spans="1:9" x14ac:dyDescent="0.2">
      <c r="B24" s="32" t="s">
        <v>56</v>
      </c>
      <c r="D24" s="32" t="s">
        <v>40</v>
      </c>
    </row>
    <row r="25" spans="1:9" x14ac:dyDescent="0.2">
      <c r="B25" s="32" t="s">
        <v>80</v>
      </c>
      <c r="D25" s="87">
        <v>6</v>
      </c>
      <c r="F25" s="15"/>
    </row>
    <row r="26" spans="1:9" x14ac:dyDescent="0.2">
      <c r="B26" s="13"/>
      <c r="C26" s="101" t="s">
        <v>55</v>
      </c>
      <c r="D26" s="13"/>
      <c r="E26" s="13"/>
      <c r="F26" s="13"/>
      <c r="G26" s="13"/>
      <c r="H26" s="13"/>
      <c r="I26" s="13"/>
    </row>
    <row r="27" spans="1:9" x14ac:dyDescent="0.2"/>
    <row r="28" spans="1:9" x14ac:dyDescent="0.2"/>
    <row r="29" spans="1:9" x14ac:dyDescent="0.2"/>
    <row r="30" spans="1:9" x14ac:dyDescent="0.2"/>
    <row r="31" spans="1:9" x14ac:dyDescent="0.2"/>
    <row r="32" spans="1:9" hidden="1" x14ac:dyDescent="0.2"/>
    <row r="33" hidden="1" x14ac:dyDescent="0.2"/>
    <row r="34" hidden="1"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3">
    <mergeCell ref="E16:I17"/>
    <mergeCell ref="B5:I8"/>
    <mergeCell ref="G11:I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election activeCell="B29" sqref="B29"/>
    </sheetView>
  </sheetViews>
  <sheetFormatPr defaultColWidth="0" defaultRowHeight="11.4" zeroHeight="1" x14ac:dyDescent="0.2"/>
  <cols>
    <col min="1" max="1" width="2.19921875" style="1" customWidth="1"/>
    <col min="2" max="2" width="38.3984375" style="4" customWidth="1"/>
    <col min="3" max="3" width="6.69921875" style="4" customWidth="1"/>
    <col min="4" max="4" width="10.19921875" style="4" bestFit="1" customWidth="1"/>
    <col min="5" max="6" width="9.09765625" style="4" customWidth="1"/>
    <col min="7" max="11" width="9.69921875" style="4" customWidth="1"/>
    <col min="12" max="12" width="4.69921875" style="4" customWidth="1"/>
    <col min="13" max="13" width="0" style="4" hidden="1" customWidth="1"/>
    <col min="14" max="16384" width="9.69921875" style="4" hidden="1"/>
  </cols>
  <sheetData>
    <row r="1" spans="1:13" ht="19.5" customHeight="1" x14ac:dyDescent="0.3">
      <c r="B1" s="2" t="s">
        <v>131</v>
      </c>
      <c r="C1" s="3"/>
      <c r="D1" s="3"/>
      <c r="E1" s="3"/>
      <c r="F1" s="3"/>
      <c r="G1" s="3"/>
      <c r="H1" s="3"/>
      <c r="I1" s="3"/>
      <c r="J1" s="3"/>
      <c r="K1" s="3"/>
    </row>
    <row r="2" spans="1:13" ht="23.25" customHeight="1" x14ac:dyDescent="0.2">
      <c r="B2" s="5" t="s">
        <v>110</v>
      </c>
      <c r="C2" s="3"/>
      <c r="D2" s="3"/>
      <c r="E2" s="3"/>
      <c r="F2" s="3"/>
      <c r="G2" s="3"/>
      <c r="H2" s="3"/>
      <c r="I2" s="6"/>
      <c r="J2" s="6"/>
      <c r="K2" s="6"/>
      <c r="M2" s="7"/>
    </row>
    <row r="3" spans="1:13" x14ac:dyDescent="0.2"/>
    <row r="4" spans="1:13" s="11" customFormat="1" x14ac:dyDescent="0.2">
      <c r="A4" s="8"/>
      <c r="B4" s="9" t="s">
        <v>63</v>
      </c>
      <c r="C4" s="10" t="s">
        <v>15</v>
      </c>
      <c r="D4" s="10"/>
      <c r="E4" s="10"/>
      <c r="F4" s="153" t="s">
        <v>16</v>
      </c>
      <c r="G4" s="10"/>
      <c r="H4" s="10"/>
      <c r="I4" s="10"/>
      <c r="J4" s="10"/>
      <c r="K4" s="10"/>
    </row>
    <row r="5" spans="1:13" s="11" customFormat="1" x14ac:dyDescent="0.2">
      <c r="A5" s="8"/>
      <c r="B5" s="65" t="s">
        <v>59</v>
      </c>
      <c r="C5" s="80" t="s">
        <v>60</v>
      </c>
      <c r="D5" s="82">
        <v>2019</v>
      </c>
      <c r="E5" s="65"/>
      <c r="F5" s="80"/>
      <c r="G5" s="65"/>
      <c r="H5" s="65"/>
      <c r="I5" s="65"/>
      <c r="J5" s="65"/>
      <c r="K5" s="65"/>
      <c r="L5" s="43"/>
    </row>
    <row r="6" spans="1:13" s="11" customFormat="1" x14ac:dyDescent="0.2">
      <c r="A6" s="8"/>
      <c r="B6" s="65" t="s">
        <v>62</v>
      </c>
      <c r="C6" s="80" t="s">
        <v>58</v>
      </c>
      <c r="D6" s="86">
        <v>20</v>
      </c>
      <c r="E6" s="65"/>
      <c r="F6" s="80" t="s">
        <v>70</v>
      </c>
      <c r="G6" s="65"/>
      <c r="H6" s="65"/>
      <c r="I6" s="65"/>
      <c r="J6" s="65"/>
      <c r="K6" s="65"/>
      <c r="L6" s="43"/>
    </row>
    <row r="7" spans="1:13" s="11" customFormat="1" x14ac:dyDescent="0.2">
      <c r="A7" s="8"/>
      <c r="B7" s="65" t="s">
        <v>64</v>
      </c>
      <c r="C7" s="80" t="s">
        <v>65</v>
      </c>
      <c r="D7" s="86">
        <v>1418</v>
      </c>
      <c r="E7" s="65"/>
      <c r="F7" s="80" t="s">
        <v>70</v>
      </c>
      <c r="G7" s="65"/>
      <c r="H7" s="65"/>
      <c r="I7" s="65"/>
      <c r="J7" s="65"/>
      <c r="K7" s="65"/>
      <c r="L7" s="43"/>
    </row>
    <row r="8" spans="1:13" s="11" customFormat="1" x14ac:dyDescent="0.2">
      <c r="A8" s="8"/>
      <c r="B8" s="32" t="s">
        <v>126</v>
      </c>
      <c r="C8" s="12" t="s">
        <v>127</v>
      </c>
      <c r="D8" s="108">
        <f>Indsatsen!D17</f>
        <v>7.2</v>
      </c>
      <c r="E8" s="4"/>
      <c r="F8" s="12"/>
      <c r="G8" s="4"/>
      <c r="H8" s="4"/>
      <c r="I8" s="4"/>
      <c r="J8" s="4"/>
      <c r="K8" s="4"/>
      <c r="L8" s="43"/>
    </row>
    <row r="9" spans="1:13" s="11" customFormat="1" x14ac:dyDescent="0.2">
      <c r="A9" s="8"/>
      <c r="B9" s="101" t="s">
        <v>61</v>
      </c>
      <c r="C9" s="14" t="s">
        <v>127</v>
      </c>
      <c r="D9" s="102">
        <f>Indsatsen!D25</f>
        <v>6</v>
      </c>
      <c r="E9" s="13"/>
      <c r="F9" s="14"/>
      <c r="G9" s="13"/>
      <c r="H9" s="13"/>
      <c r="I9" s="13"/>
      <c r="J9" s="13"/>
      <c r="K9" s="13"/>
      <c r="L9" s="43"/>
    </row>
    <row r="10" spans="1:13" s="11" customFormat="1" x14ac:dyDescent="0.2">
      <c r="A10" s="8"/>
      <c r="B10" s="4"/>
      <c r="C10" s="4"/>
      <c r="D10" s="4"/>
      <c r="E10" s="4"/>
      <c r="F10" s="12"/>
      <c r="G10" s="4"/>
      <c r="H10" s="4"/>
      <c r="I10" s="4"/>
      <c r="J10" s="4"/>
      <c r="K10" s="4"/>
      <c r="L10" s="43"/>
    </row>
    <row r="11" spans="1:13" s="11" customFormat="1" x14ac:dyDescent="0.2">
      <c r="A11" s="8"/>
      <c r="B11" s="9" t="s">
        <v>66</v>
      </c>
      <c r="C11" s="10" t="s">
        <v>15</v>
      </c>
      <c r="D11" s="10"/>
      <c r="E11" s="10"/>
      <c r="F11" s="153" t="s">
        <v>16</v>
      </c>
      <c r="G11" s="10"/>
      <c r="H11" s="10"/>
      <c r="I11" s="10"/>
      <c r="J11" s="10"/>
      <c r="K11" s="10"/>
      <c r="L11" s="43"/>
    </row>
    <row r="12" spans="1:13" s="11" customFormat="1" x14ac:dyDescent="0.2">
      <c r="A12" s="8"/>
      <c r="B12" s="27" t="s">
        <v>47</v>
      </c>
      <c r="C12" s="43"/>
      <c r="D12" s="43"/>
      <c r="E12" s="43"/>
      <c r="F12" s="81"/>
      <c r="G12" s="43"/>
      <c r="H12" s="43"/>
      <c r="I12" s="43"/>
      <c r="J12" s="43"/>
      <c r="K12" s="43"/>
      <c r="L12" s="43"/>
    </row>
    <row r="13" spans="1:13" s="11" customFormat="1" x14ac:dyDescent="0.2">
      <c r="A13" s="8"/>
      <c r="B13" s="67" t="s">
        <v>33</v>
      </c>
      <c r="C13" s="66" t="s">
        <v>17</v>
      </c>
      <c r="D13" s="68">
        <f>40945.2562678524</f>
        <v>40945.256267852397</v>
      </c>
      <c r="E13" s="65"/>
      <c r="F13" s="66" t="s">
        <v>68</v>
      </c>
      <c r="G13" s="65"/>
      <c r="H13" s="43"/>
      <c r="I13" s="43"/>
      <c r="J13" s="43"/>
      <c r="K13" s="43"/>
      <c r="L13" s="43"/>
    </row>
    <row r="14" spans="1:13" s="11" customFormat="1" x14ac:dyDescent="0.2">
      <c r="A14" s="8"/>
      <c r="B14" s="67" t="s">
        <v>35</v>
      </c>
      <c r="C14" s="12" t="s">
        <v>18</v>
      </c>
      <c r="D14" s="64">
        <f>(D13*12)/D7</f>
        <v>346.5042843541811</v>
      </c>
      <c r="E14" s="65"/>
      <c r="F14" s="53"/>
      <c r="G14" s="65"/>
      <c r="H14" s="43"/>
      <c r="I14" s="43"/>
      <c r="J14" s="43"/>
      <c r="K14" s="43"/>
      <c r="L14" s="43"/>
    </row>
    <row r="15" spans="1:13" s="11" customFormat="1" x14ac:dyDescent="0.2">
      <c r="A15" s="8"/>
      <c r="B15" s="67" t="s">
        <v>34</v>
      </c>
      <c r="C15" s="80" t="s">
        <v>18</v>
      </c>
      <c r="D15" s="69">
        <f>D14*(1+($D$6/100))</f>
        <v>415.80514122501728</v>
      </c>
      <c r="E15" s="65"/>
      <c r="F15" s="80"/>
      <c r="G15" s="65"/>
      <c r="H15" s="43"/>
      <c r="I15" s="43"/>
      <c r="J15" s="43"/>
      <c r="K15" s="43"/>
      <c r="L15" s="43"/>
    </row>
    <row r="16" spans="1:13" s="11" customFormat="1" x14ac:dyDescent="0.2">
      <c r="A16" s="8"/>
      <c r="B16" s="27" t="s">
        <v>48</v>
      </c>
      <c r="C16" s="81"/>
      <c r="D16" s="43"/>
      <c r="E16" s="43"/>
      <c r="F16" s="81"/>
      <c r="G16" s="43"/>
      <c r="H16" s="43"/>
      <c r="I16" s="43"/>
      <c r="J16" s="43"/>
      <c r="K16" s="43"/>
    </row>
    <row r="17" spans="1:12" s="11" customFormat="1" x14ac:dyDescent="0.2">
      <c r="A17" s="8"/>
      <c r="B17" s="67" t="s">
        <v>33</v>
      </c>
      <c r="C17" s="66" t="s">
        <v>17</v>
      </c>
      <c r="D17" s="68">
        <f>37990.4575322282</f>
        <v>37990.457532228203</v>
      </c>
      <c r="E17" s="65"/>
      <c r="F17" s="66" t="s">
        <v>68</v>
      </c>
      <c r="G17" s="65"/>
      <c r="H17" s="43"/>
      <c r="I17" s="43"/>
      <c r="J17" s="43"/>
      <c r="K17" s="43"/>
    </row>
    <row r="18" spans="1:12" s="11" customFormat="1" x14ac:dyDescent="0.2">
      <c r="A18" s="8"/>
      <c r="B18" s="67" t="s">
        <v>35</v>
      </c>
      <c r="C18" s="12" t="s">
        <v>18</v>
      </c>
      <c r="D18" s="64">
        <f>(D17*12)/D7</f>
        <v>321.49893539262229</v>
      </c>
      <c r="E18" s="65"/>
      <c r="F18" s="53"/>
      <c r="G18" s="65"/>
      <c r="H18" s="43"/>
      <c r="I18" s="43"/>
      <c r="J18" s="43"/>
      <c r="K18" s="43"/>
    </row>
    <row r="19" spans="1:12" s="11" customFormat="1" x14ac:dyDescent="0.2">
      <c r="A19" s="8"/>
      <c r="B19" s="67" t="s">
        <v>34</v>
      </c>
      <c r="C19" s="80" t="s">
        <v>18</v>
      </c>
      <c r="D19" s="69">
        <f>D18*(1+($D$6/100))</f>
        <v>385.79872247114673</v>
      </c>
      <c r="E19" s="65"/>
      <c r="F19" s="80"/>
      <c r="G19" s="65"/>
      <c r="H19" s="43"/>
      <c r="I19" s="43"/>
      <c r="J19" s="43"/>
      <c r="K19" s="43"/>
    </row>
    <row r="20" spans="1:12" x14ac:dyDescent="0.2">
      <c r="B20" s="27" t="s">
        <v>49</v>
      </c>
      <c r="C20" s="81"/>
      <c r="D20" s="43"/>
      <c r="E20" s="43"/>
      <c r="F20" s="81"/>
      <c r="G20" s="43"/>
      <c r="H20" s="43"/>
      <c r="I20" s="43"/>
      <c r="J20" s="43"/>
      <c r="K20" s="43"/>
    </row>
    <row r="21" spans="1:12" x14ac:dyDescent="0.2">
      <c r="B21" s="67" t="s">
        <v>33</v>
      </c>
      <c r="C21" s="66" t="s">
        <v>17</v>
      </c>
      <c r="D21" s="68">
        <f>35509.3282800013</f>
        <v>35509.328280001297</v>
      </c>
      <c r="E21" s="65"/>
      <c r="F21" s="66" t="s">
        <v>68</v>
      </c>
      <c r="G21" s="65"/>
      <c r="H21" s="43"/>
      <c r="I21" s="43"/>
      <c r="J21" s="43"/>
      <c r="K21" s="43"/>
    </row>
    <row r="22" spans="1:12" x14ac:dyDescent="0.2">
      <c r="B22" s="67" t="s">
        <v>35</v>
      </c>
      <c r="C22" s="12" t="s">
        <v>18</v>
      </c>
      <c r="D22" s="64">
        <f>(D21*12)/D7</f>
        <v>300.50207289140729</v>
      </c>
      <c r="E22" s="65"/>
      <c r="F22" s="53"/>
      <c r="G22" s="65"/>
      <c r="H22" s="43"/>
      <c r="I22" s="43"/>
      <c r="J22" s="43"/>
      <c r="K22" s="43"/>
    </row>
    <row r="23" spans="1:12" x14ac:dyDescent="0.2">
      <c r="B23" s="67" t="s">
        <v>34</v>
      </c>
      <c r="C23" s="80" t="s">
        <v>18</v>
      </c>
      <c r="D23" s="69">
        <f>D22*(1+($D$6/100))</f>
        <v>360.60248746968875</v>
      </c>
      <c r="E23" s="65"/>
      <c r="F23" s="80"/>
      <c r="G23" s="65"/>
      <c r="H23" s="43"/>
      <c r="I23" s="43"/>
      <c r="J23" s="43"/>
      <c r="K23" s="43"/>
    </row>
    <row r="24" spans="1:12" x14ac:dyDescent="0.2">
      <c r="B24" s="94" t="s">
        <v>50</v>
      </c>
      <c r="C24" s="80"/>
      <c r="D24" s="65"/>
      <c r="E24" s="65"/>
      <c r="F24" s="80"/>
      <c r="G24" s="65"/>
      <c r="H24" s="65"/>
      <c r="I24" s="65"/>
      <c r="J24" s="65"/>
      <c r="K24" s="65"/>
    </row>
    <row r="25" spans="1:12" s="11" customFormat="1" x14ac:dyDescent="0.2">
      <c r="A25" s="8"/>
      <c r="B25" s="67" t="s">
        <v>33</v>
      </c>
      <c r="C25" s="66" t="s">
        <v>17</v>
      </c>
      <c r="D25" s="68">
        <f>37591.8957345333</f>
        <v>37591.895734533296</v>
      </c>
      <c r="E25" s="65"/>
      <c r="F25" s="66" t="s">
        <v>68</v>
      </c>
      <c r="G25" s="65"/>
      <c r="H25" s="65"/>
      <c r="I25" s="65"/>
      <c r="J25" s="65"/>
      <c r="K25" s="65"/>
    </row>
    <row r="26" spans="1:12" s="43" customFormat="1" x14ac:dyDescent="0.2">
      <c r="A26" s="41"/>
      <c r="B26" s="67" t="s">
        <v>35</v>
      </c>
      <c r="C26" s="12" t="s">
        <v>18</v>
      </c>
      <c r="D26" s="64">
        <f>(D25*12)/D7</f>
        <v>318.12605699181915</v>
      </c>
      <c r="E26" s="65"/>
      <c r="F26" s="53"/>
      <c r="G26" s="65"/>
      <c r="H26" s="65"/>
      <c r="I26" s="65"/>
      <c r="J26" s="65"/>
      <c r="K26" s="65"/>
      <c r="L26" s="65"/>
    </row>
    <row r="27" spans="1:12" s="43" customFormat="1" x14ac:dyDescent="0.2">
      <c r="A27" s="41"/>
      <c r="B27" s="67" t="s">
        <v>34</v>
      </c>
      <c r="C27" s="80" t="s">
        <v>18</v>
      </c>
      <c r="D27" s="69">
        <f>D26*(1+($D$6/100))</f>
        <v>381.75126839018299</v>
      </c>
      <c r="E27" s="65"/>
      <c r="F27" s="80"/>
      <c r="G27" s="65"/>
      <c r="H27" s="65"/>
      <c r="I27" s="65"/>
      <c r="J27" s="65"/>
      <c r="K27" s="65"/>
      <c r="L27" s="65"/>
    </row>
    <row r="28" spans="1:12" s="43" customFormat="1" x14ac:dyDescent="0.2">
      <c r="A28" s="41"/>
      <c r="B28" s="94" t="s">
        <v>71</v>
      </c>
      <c r="C28" s="80"/>
      <c r="D28" s="69"/>
      <c r="E28" s="65"/>
      <c r="F28" s="80"/>
      <c r="G28" s="65"/>
      <c r="H28" s="65"/>
      <c r="I28" s="65"/>
      <c r="J28" s="65"/>
      <c r="K28" s="65"/>
      <c r="L28" s="65"/>
    </row>
    <row r="29" spans="1:12" x14ac:dyDescent="0.2">
      <c r="B29" s="67" t="s">
        <v>33</v>
      </c>
      <c r="C29" s="66" t="s">
        <v>17</v>
      </c>
      <c r="D29" s="68">
        <f>53466.084241811</f>
        <v>53466.084241810997</v>
      </c>
      <c r="E29" s="44"/>
      <c r="F29" s="66" t="s">
        <v>69</v>
      </c>
      <c r="G29" s="44"/>
      <c r="H29" s="44"/>
      <c r="I29" s="44"/>
      <c r="J29" s="44"/>
      <c r="K29" s="44"/>
    </row>
    <row r="30" spans="1:12" x14ac:dyDescent="0.2">
      <c r="B30" s="67" t="s">
        <v>35</v>
      </c>
      <c r="C30" s="12" t="s">
        <v>18</v>
      </c>
      <c r="D30" s="68">
        <f>(D29*12)/D7</f>
        <v>452.46333631998021</v>
      </c>
      <c r="F30" s="52"/>
    </row>
    <row r="31" spans="1:12" s="33" customFormat="1" x14ac:dyDescent="0.2">
      <c r="B31" s="88" t="s">
        <v>34</v>
      </c>
      <c r="C31" s="89" t="s">
        <v>18</v>
      </c>
      <c r="D31" s="90">
        <f>D30*(1+($D$6/100))</f>
        <v>542.95600358397621</v>
      </c>
      <c r="E31" s="91"/>
      <c r="F31" s="91"/>
    </row>
    <row r="32" spans="1:12" s="33" customFormat="1" x14ac:dyDescent="0.2">
      <c r="B32" s="88"/>
      <c r="C32" s="89"/>
      <c r="D32" s="90"/>
      <c r="E32" s="91"/>
      <c r="F32" s="91"/>
    </row>
    <row r="33" spans="2:11" s="33" customFormat="1" x14ac:dyDescent="0.2">
      <c r="B33" s="84" t="s">
        <v>67</v>
      </c>
      <c r="C33" s="84"/>
      <c r="D33" s="85"/>
      <c r="E33" s="93"/>
      <c r="F33" s="93"/>
      <c r="G33" s="92"/>
      <c r="H33" s="92"/>
      <c r="I33" s="92"/>
      <c r="J33" s="92"/>
      <c r="K33" s="92"/>
    </row>
    <row r="34" spans="2:11" s="33" customFormat="1" x14ac:dyDescent="0.2"/>
    <row r="35" spans="2:11" x14ac:dyDescent="0.2">
      <c r="B35" s="124"/>
      <c r="C35" s="125"/>
    </row>
    <row r="36" spans="2:11" x14ac:dyDescent="0.2"/>
    <row r="37" spans="2:11" x14ac:dyDescent="0.2"/>
    <row r="38" spans="2:11" hidden="1" x14ac:dyDescent="0.2"/>
    <row r="39" spans="2:11" hidden="1" x14ac:dyDescent="0.2"/>
    <row r="40" spans="2:11" hidden="1" x14ac:dyDescent="0.2"/>
    <row r="41" spans="2:11" hidden="1" x14ac:dyDescent="0.2"/>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2"/>
  <sheetViews>
    <sheetView showGridLines="0" zoomScaleNormal="100" workbookViewId="0">
      <selection activeCell="B15" sqref="B15"/>
    </sheetView>
  </sheetViews>
  <sheetFormatPr defaultColWidth="0" defaultRowHeight="11.4" zeroHeight="1" x14ac:dyDescent="0.2"/>
  <cols>
    <col min="1" max="1" width="2.19921875" style="33" customWidth="1"/>
    <col min="2" max="2" width="33.69921875" style="4" customWidth="1"/>
    <col min="3" max="3" width="12.8984375" style="4" customWidth="1"/>
    <col min="4" max="4" width="10.19921875" style="4" bestFit="1" customWidth="1"/>
    <col min="5" max="6" width="9.09765625" style="4" customWidth="1"/>
    <col min="7" max="11" width="9.69921875" style="4" customWidth="1"/>
    <col min="12" max="12" width="9.69921875" style="15" customWidth="1"/>
    <col min="13" max="15" width="9.69921875" style="4" customWidth="1"/>
    <col min="16" max="16" width="0" style="1" hidden="1" customWidth="1"/>
    <col min="17" max="16384" width="9.69921875" style="1" hidden="1"/>
  </cols>
  <sheetData>
    <row r="1" spans="1:16" ht="19.5" customHeight="1" x14ac:dyDescent="0.3">
      <c r="B1" s="2" t="s">
        <v>57</v>
      </c>
      <c r="C1" s="3"/>
      <c r="D1" s="3"/>
      <c r="E1" s="3"/>
      <c r="F1" s="3"/>
      <c r="G1" s="3"/>
      <c r="H1" s="3"/>
      <c r="I1" s="3"/>
      <c r="J1" s="3"/>
      <c r="K1" s="3"/>
      <c r="L1" s="48"/>
      <c r="M1" s="3"/>
      <c r="N1" s="3"/>
      <c r="O1" s="3"/>
    </row>
    <row r="2" spans="1:16" ht="23.25" customHeight="1" x14ac:dyDescent="0.2">
      <c r="B2" s="5" t="s">
        <v>110</v>
      </c>
      <c r="C2" s="3"/>
      <c r="D2" s="3"/>
      <c r="E2" s="3"/>
      <c r="F2" s="3"/>
      <c r="G2" s="3"/>
      <c r="H2" s="3"/>
      <c r="I2" s="6"/>
      <c r="J2" s="6"/>
      <c r="K2" s="6"/>
      <c r="L2" s="48"/>
      <c r="M2" s="16"/>
      <c r="N2" s="3"/>
      <c r="O2" s="3"/>
    </row>
    <row r="3" spans="1:16" x14ac:dyDescent="0.2"/>
    <row r="4" spans="1:16" s="8" customFormat="1" x14ac:dyDescent="0.2">
      <c r="A4" s="41"/>
      <c r="B4" s="9" t="s">
        <v>32</v>
      </c>
      <c r="C4" s="10"/>
      <c r="D4" s="10"/>
      <c r="E4" s="10"/>
      <c r="F4" s="10"/>
      <c r="G4" s="10"/>
      <c r="H4" s="10"/>
      <c r="I4" s="10"/>
      <c r="J4" s="10"/>
      <c r="K4" s="10"/>
      <c r="L4" s="49"/>
      <c r="M4" s="10"/>
      <c r="N4" s="10"/>
      <c r="O4" s="10"/>
    </row>
    <row r="5" spans="1:16" s="8" customFormat="1" x14ac:dyDescent="0.2">
      <c r="A5" s="41"/>
      <c r="B5" s="42"/>
      <c r="C5" s="43"/>
      <c r="D5" s="43"/>
      <c r="E5" s="43"/>
      <c r="F5" s="43"/>
      <c r="G5" s="43"/>
      <c r="H5" s="43"/>
      <c r="I5" s="43"/>
      <c r="J5" s="43"/>
      <c r="K5" s="43"/>
      <c r="L5" s="50"/>
      <c r="M5" s="43"/>
      <c r="N5" s="43"/>
      <c r="O5" s="43"/>
    </row>
    <row r="6" spans="1:16" x14ac:dyDescent="0.2">
      <c r="B6" s="17" t="s">
        <v>26</v>
      </c>
      <c r="C6" s="18" t="s">
        <v>0</v>
      </c>
      <c r="D6" s="19"/>
      <c r="E6" s="20"/>
      <c r="F6" s="20"/>
      <c r="G6" s="20"/>
      <c r="H6" s="20"/>
      <c r="I6" s="20"/>
      <c r="J6" s="20"/>
      <c r="K6" s="20"/>
      <c r="L6" s="21"/>
      <c r="M6" s="20"/>
      <c r="N6" s="20"/>
      <c r="O6" s="20"/>
    </row>
    <row r="7" spans="1:16" x14ac:dyDescent="0.2">
      <c r="B7" s="34" t="s">
        <v>74</v>
      </c>
      <c r="C7" s="35"/>
      <c r="D7" s="36"/>
      <c r="E7" s="37"/>
      <c r="F7" s="37"/>
      <c r="G7" s="37"/>
      <c r="H7" s="37"/>
      <c r="I7" s="37"/>
      <c r="J7" s="37"/>
      <c r="K7" s="37"/>
      <c r="L7" s="38"/>
      <c r="M7" s="37"/>
      <c r="N7" s="37"/>
      <c r="O7" s="37"/>
    </row>
    <row r="8" spans="1:16" ht="12" customHeight="1" x14ac:dyDescent="0.2">
      <c r="B8" s="40" t="s">
        <v>75</v>
      </c>
      <c r="C8" s="96" t="s">
        <v>77</v>
      </c>
      <c r="D8" s="70">
        <f>52000/9</f>
        <v>5777.7777777777774</v>
      </c>
      <c r="E8" s="37"/>
      <c r="F8" s="35" t="s">
        <v>84</v>
      </c>
      <c r="G8" s="37"/>
      <c r="H8" s="37"/>
      <c r="I8" s="37"/>
      <c r="J8" s="37"/>
      <c r="K8" s="39"/>
      <c r="L8" s="38"/>
      <c r="M8" s="37"/>
      <c r="N8" s="37"/>
      <c r="O8" s="37"/>
      <c r="P8" s="52"/>
    </row>
    <row r="9" spans="1:16" ht="12" customHeight="1" x14ac:dyDescent="0.2">
      <c r="B9" s="40" t="s">
        <v>76</v>
      </c>
      <c r="C9" s="35" t="s">
        <v>78</v>
      </c>
      <c r="D9" s="70">
        <f>4*7.4</f>
        <v>29.6</v>
      </c>
      <c r="E9" s="37"/>
      <c r="F9" s="37"/>
      <c r="G9" s="37"/>
      <c r="H9" s="37"/>
      <c r="I9" s="37"/>
      <c r="J9" s="37"/>
      <c r="K9" s="39"/>
      <c r="L9" s="38"/>
      <c r="M9" s="37"/>
      <c r="N9" s="37"/>
      <c r="O9" s="37"/>
      <c r="P9" s="52"/>
    </row>
    <row r="10" spans="1:16" x14ac:dyDescent="0.2">
      <c r="B10" s="97" t="s">
        <v>79</v>
      </c>
      <c r="C10" s="35"/>
      <c r="D10" s="70"/>
      <c r="E10" s="37"/>
      <c r="F10" s="37"/>
      <c r="G10" s="37"/>
      <c r="H10" s="37"/>
      <c r="I10" s="37"/>
      <c r="J10" s="37"/>
      <c r="K10" s="39"/>
      <c r="L10" s="38"/>
      <c r="M10" s="37"/>
      <c r="N10" s="37"/>
      <c r="O10" s="37"/>
      <c r="P10" s="52"/>
    </row>
    <row r="11" spans="1:16" x14ac:dyDescent="0.2">
      <c r="B11" s="40" t="s">
        <v>75</v>
      </c>
      <c r="C11" s="96" t="s">
        <v>77</v>
      </c>
      <c r="D11" s="70">
        <v>48975</v>
      </c>
      <c r="E11" s="37"/>
      <c r="F11" s="37"/>
      <c r="G11" s="37"/>
      <c r="H11" s="37"/>
      <c r="I11" s="37"/>
      <c r="J11" s="37"/>
      <c r="K11" s="39"/>
      <c r="L11" s="38"/>
      <c r="M11" s="37"/>
      <c r="N11" s="37"/>
      <c r="O11" s="37"/>
      <c r="P11" s="52"/>
    </row>
    <row r="12" spans="1:16" x14ac:dyDescent="0.2">
      <c r="B12" s="40" t="s">
        <v>76</v>
      </c>
      <c r="C12" s="35" t="s">
        <v>78</v>
      </c>
      <c r="D12" s="70">
        <f>((21+17)/2)*7.4</f>
        <v>140.6</v>
      </c>
      <c r="E12" s="37"/>
      <c r="F12" s="80" t="s">
        <v>82</v>
      </c>
      <c r="G12" s="37"/>
      <c r="H12" s="37"/>
      <c r="I12" s="37"/>
      <c r="J12" s="37"/>
      <c r="K12" s="39"/>
      <c r="L12" s="38"/>
      <c r="M12" s="37"/>
      <c r="N12" s="37"/>
      <c r="O12" s="37"/>
      <c r="P12" s="52"/>
    </row>
    <row r="13" spans="1:16" x14ac:dyDescent="0.2"/>
    <row r="14" spans="1:16" s="8" customFormat="1" x14ac:dyDescent="0.2">
      <c r="A14" s="41"/>
      <c r="B14" s="9" t="s">
        <v>130</v>
      </c>
      <c r="C14" s="10"/>
      <c r="D14" s="10"/>
      <c r="E14" s="10"/>
      <c r="F14" s="10"/>
      <c r="G14" s="10"/>
      <c r="H14" s="10"/>
      <c r="I14" s="10"/>
      <c r="J14" s="10"/>
      <c r="K14" s="10"/>
      <c r="L14" s="49"/>
      <c r="M14" s="10"/>
      <c r="N14" s="10"/>
      <c r="O14" s="10"/>
    </row>
    <row r="15" spans="1:16" x14ac:dyDescent="0.2"/>
    <row r="16" spans="1:16" x14ac:dyDescent="0.2">
      <c r="B16" s="17" t="s">
        <v>42</v>
      </c>
      <c r="C16" s="18" t="s">
        <v>28</v>
      </c>
      <c r="D16" s="19">
        <v>1</v>
      </c>
      <c r="E16" s="20">
        <v>2</v>
      </c>
      <c r="F16" s="20">
        <v>3</v>
      </c>
      <c r="G16" s="20">
        <v>4</v>
      </c>
      <c r="H16" s="20">
        <v>5</v>
      </c>
      <c r="I16" s="20">
        <v>6</v>
      </c>
      <c r="J16" s="20">
        <v>7</v>
      </c>
      <c r="K16" s="20"/>
      <c r="L16" s="21"/>
      <c r="M16" s="20"/>
      <c r="N16" s="20"/>
      <c r="O16" s="20"/>
    </row>
    <row r="17" spans="2:15" x14ac:dyDescent="0.2">
      <c r="B17" s="74" t="s">
        <v>39</v>
      </c>
      <c r="C17" s="75"/>
      <c r="D17" s="76" t="s">
        <v>40</v>
      </c>
      <c r="E17" s="76" t="s">
        <v>41</v>
      </c>
      <c r="F17" s="76" t="s">
        <v>41</v>
      </c>
      <c r="G17" s="76" t="s">
        <v>41</v>
      </c>
      <c r="H17" s="76" t="s">
        <v>41</v>
      </c>
      <c r="I17" s="76" t="s">
        <v>41</v>
      </c>
      <c r="J17" s="76" t="s">
        <v>41</v>
      </c>
      <c r="K17" s="77"/>
      <c r="L17" s="78"/>
      <c r="M17" s="77"/>
      <c r="N17" s="77"/>
      <c r="O17" s="77"/>
    </row>
    <row r="18" spans="2:15" x14ac:dyDescent="0.2">
      <c r="B18" s="27" t="s">
        <v>47</v>
      </c>
      <c r="C18" s="12"/>
      <c r="D18" s="45"/>
      <c r="E18" s="23"/>
      <c r="F18" s="23"/>
      <c r="G18" s="23"/>
      <c r="H18" s="23"/>
      <c r="I18" s="23"/>
      <c r="J18" s="23"/>
    </row>
    <row r="19" spans="2:15" x14ac:dyDescent="0.2">
      <c r="B19" s="58" t="s">
        <v>45</v>
      </c>
      <c r="C19" s="12" t="s">
        <v>19</v>
      </c>
      <c r="D19" s="45" t="s">
        <v>38</v>
      </c>
      <c r="E19" s="46" t="s">
        <v>20</v>
      </c>
      <c r="F19" s="46" t="s">
        <v>20</v>
      </c>
      <c r="G19" s="46" t="s">
        <v>20</v>
      </c>
      <c r="H19" s="46" t="s">
        <v>20</v>
      </c>
      <c r="I19" s="46" t="s">
        <v>20</v>
      </c>
      <c r="J19" s="46" t="s">
        <v>20</v>
      </c>
    </row>
    <row r="20" spans="2:15" x14ac:dyDescent="0.2">
      <c r="B20" s="57" t="s">
        <v>46</v>
      </c>
      <c r="C20" s="53" t="s">
        <v>19</v>
      </c>
      <c r="D20" s="54" t="s">
        <v>38</v>
      </c>
      <c r="E20" s="60" t="s">
        <v>20</v>
      </c>
      <c r="F20" s="60" t="s">
        <v>20</v>
      </c>
      <c r="G20" s="60" t="s">
        <v>20</v>
      </c>
      <c r="H20" s="60" t="s">
        <v>20</v>
      </c>
      <c r="I20" s="60" t="s">
        <v>20</v>
      </c>
      <c r="J20" s="60" t="s">
        <v>20</v>
      </c>
      <c r="K20" s="1"/>
      <c r="L20" s="56"/>
      <c r="M20" s="1"/>
      <c r="N20" s="1"/>
      <c r="O20" s="1"/>
    </row>
    <row r="21" spans="2:15" x14ac:dyDescent="0.2">
      <c r="B21" s="27" t="s">
        <v>48</v>
      </c>
      <c r="C21" s="53"/>
      <c r="D21" s="54"/>
      <c r="E21" s="55"/>
      <c r="F21" s="55"/>
      <c r="G21" s="55"/>
      <c r="H21" s="55"/>
      <c r="I21" s="55"/>
      <c r="J21" s="55"/>
      <c r="K21" s="1"/>
      <c r="L21" s="56"/>
      <c r="M21" s="1"/>
      <c r="N21" s="1"/>
      <c r="O21" s="1"/>
    </row>
    <row r="22" spans="2:15" x14ac:dyDescent="0.2">
      <c r="B22" s="58" t="s">
        <v>45</v>
      </c>
      <c r="C22" s="12" t="s">
        <v>19</v>
      </c>
      <c r="D22" s="54" t="s">
        <v>38</v>
      </c>
      <c r="E22" s="60" t="s">
        <v>20</v>
      </c>
      <c r="F22" s="60" t="s">
        <v>20</v>
      </c>
      <c r="G22" s="60" t="s">
        <v>20</v>
      </c>
      <c r="H22" s="60" t="s">
        <v>20</v>
      </c>
      <c r="I22" s="60" t="s">
        <v>20</v>
      </c>
      <c r="J22" s="60" t="s">
        <v>20</v>
      </c>
      <c r="K22" s="1"/>
      <c r="L22" s="56"/>
      <c r="M22" s="1"/>
      <c r="N22" s="1"/>
      <c r="O22" s="1"/>
    </row>
    <row r="23" spans="2:15" x14ac:dyDescent="0.2">
      <c r="B23" s="57" t="s">
        <v>46</v>
      </c>
      <c r="C23" s="53" t="s">
        <v>19</v>
      </c>
      <c r="D23" s="54" t="s">
        <v>38</v>
      </c>
      <c r="E23" s="60" t="s">
        <v>20</v>
      </c>
      <c r="F23" s="60" t="s">
        <v>20</v>
      </c>
      <c r="G23" s="60" t="s">
        <v>20</v>
      </c>
      <c r="H23" s="60" t="s">
        <v>20</v>
      </c>
      <c r="I23" s="60" t="s">
        <v>20</v>
      </c>
      <c r="J23" s="60" t="s">
        <v>20</v>
      </c>
      <c r="K23" s="1"/>
      <c r="L23" s="56"/>
      <c r="M23" s="1"/>
      <c r="N23" s="1"/>
      <c r="O23" s="1"/>
    </row>
    <row r="24" spans="2:15" x14ac:dyDescent="0.2">
      <c r="B24" s="27" t="s">
        <v>49</v>
      </c>
      <c r="C24" s="53"/>
      <c r="D24" s="54"/>
      <c r="E24" s="55"/>
      <c r="F24" s="55"/>
      <c r="G24" s="55"/>
      <c r="H24" s="55"/>
      <c r="I24" s="55"/>
      <c r="J24" s="55"/>
      <c r="K24" s="1"/>
      <c r="L24" s="56"/>
      <c r="M24" s="1"/>
      <c r="N24" s="1"/>
      <c r="O24" s="1"/>
    </row>
    <row r="25" spans="2:15" x14ac:dyDescent="0.2">
      <c r="B25" s="58" t="s">
        <v>45</v>
      </c>
      <c r="C25" s="12" t="s">
        <v>19</v>
      </c>
      <c r="D25" s="54" t="s">
        <v>38</v>
      </c>
      <c r="E25" s="60" t="s">
        <v>20</v>
      </c>
      <c r="F25" s="60" t="s">
        <v>20</v>
      </c>
      <c r="G25" s="60" t="s">
        <v>20</v>
      </c>
      <c r="H25" s="60" t="s">
        <v>20</v>
      </c>
      <c r="I25" s="60" t="s">
        <v>20</v>
      </c>
      <c r="J25" s="60" t="s">
        <v>20</v>
      </c>
      <c r="K25" s="1"/>
      <c r="L25" s="56"/>
      <c r="M25" s="1"/>
      <c r="N25" s="1"/>
      <c r="O25" s="1"/>
    </row>
    <row r="26" spans="2:15" x14ac:dyDescent="0.2">
      <c r="B26" s="57" t="s">
        <v>46</v>
      </c>
      <c r="C26" s="53" t="s">
        <v>19</v>
      </c>
      <c r="D26" s="54" t="s">
        <v>38</v>
      </c>
      <c r="E26" s="60" t="s">
        <v>20</v>
      </c>
      <c r="F26" s="60" t="s">
        <v>20</v>
      </c>
      <c r="G26" s="60" t="s">
        <v>20</v>
      </c>
      <c r="H26" s="60" t="s">
        <v>20</v>
      </c>
      <c r="I26" s="60" t="s">
        <v>20</v>
      </c>
      <c r="J26" s="60" t="s">
        <v>20</v>
      </c>
      <c r="K26" s="1"/>
      <c r="L26" s="56"/>
      <c r="M26" s="1"/>
      <c r="N26" s="1"/>
      <c r="O26" s="1"/>
    </row>
    <row r="27" spans="2:15" x14ac:dyDescent="0.2">
      <c r="B27" s="27" t="s">
        <v>50</v>
      </c>
      <c r="C27" s="53"/>
      <c r="D27" s="54"/>
      <c r="E27" s="55"/>
      <c r="F27" s="55"/>
      <c r="G27" s="55"/>
      <c r="H27" s="55"/>
      <c r="I27" s="55"/>
      <c r="J27" s="55"/>
      <c r="K27" s="1"/>
      <c r="L27" s="56"/>
      <c r="M27" s="1"/>
      <c r="N27" s="1"/>
      <c r="O27" s="1"/>
    </row>
    <row r="28" spans="2:15" x14ac:dyDescent="0.2">
      <c r="B28" s="58" t="s">
        <v>45</v>
      </c>
      <c r="C28" s="12" t="s">
        <v>19</v>
      </c>
      <c r="D28" s="54" t="s">
        <v>38</v>
      </c>
      <c r="E28" s="60" t="s">
        <v>20</v>
      </c>
      <c r="F28" s="60" t="s">
        <v>20</v>
      </c>
      <c r="G28" s="60" t="s">
        <v>20</v>
      </c>
      <c r="H28" s="60" t="s">
        <v>20</v>
      </c>
      <c r="I28" s="60" t="s">
        <v>20</v>
      </c>
      <c r="J28" s="60" t="s">
        <v>20</v>
      </c>
      <c r="K28" s="1"/>
      <c r="L28" s="56"/>
      <c r="M28" s="1"/>
      <c r="N28" s="1"/>
      <c r="O28" s="1"/>
    </row>
    <row r="29" spans="2:15" x14ac:dyDescent="0.2">
      <c r="B29" s="57" t="s">
        <v>46</v>
      </c>
      <c r="C29" s="53" t="s">
        <v>19</v>
      </c>
      <c r="D29" s="54" t="s">
        <v>38</v>
      </c>
      <c r="E29" s="60" t="s">
        <v>20</v>
      </c>
      <c r="F29" s="60" t="s">
        <v>20</v>
      </c>
      <c r="G29" s="60" t="s">
        <v>20</v>
      </c>
      <c r="H29" s="60" t="s">
        <v>20</v>
      </c>
      <c r="I29" s="60" t="s">
        <v>20</v>
      </c>
      <c r="J29" s="60" t="s">
        <v>20</v>
      </c>
      <c r="K29" s="1"/>
      <c r="L29" s="56"/>
      <c r="M29" s="1"/>
      <c r="N29" s="1"/>
      <c r="O29" s="1"/>
    </row>
    <row r="30" spans="2:15" x14ac:dyDescent="0.2">
      <c r="B30" s="26" t="s">
        <v>29</v>
      </c>
      <c r="C30" s="53"/>
      <c r="D30" s="54"/>
      <c r="E30" s="55"/>
      <c r="F30" s="55"/>
      <c r="G30" s="55"/>
      <c r="H30" s="55"/>
      <c r="I30" s="55"/>
      <c r="J30" s="55"/>
      <c r="K30" s="1"/>
      <c r="L30" s="56"/>
      <c r="M30" s="1"/>
      <c r="N30" s="1"/>
      <c r="O30" s="1"/>
    </row>
    <row r="31" spans="2:15" x14ac:dyDescent="0.2">
      <c r="B31" s="58" t="s">
        <v>45</v>
      </c>
      <c r="C31" s="12" t="s">
        <v>19</v>
      </c>
      <c r="D31" s="54" t="s">
        <v>38</v>
      </c>
      <c r="E31" s="60" t="s">
        <v>20</v>
      </c>
      <c r="F31" s="60" t="s">
        <v>20</v>
      </c>
      <c r="G31" s="60" t="s">
        <v>20</v>
      </c>
      <c r="H31" s="60" t="s">
        <v>20</v>
      </c>
      <c r="I31" s="60" t="s">
        <v>20</v>
      </c>
      <c r="J31" s="60" t="s">
        <v>20</v>
      </c>
      <c r="K31" s="1"/>
      <c r="L31" s="56"/>
      <c r="M31" s="1"/>
      <c r="N31" s="1"/>
      <c r="O31" s="1"/>
    </row>
    <row r="32" spans="2:15" x14ac:dyDescent="0.2">
      <c r="B32" s="59" t="s">
        <v>46</v>
      </c>
      <c r="C32" s="14" t="s">
        <v>19</v>
      </c>
      <c r="D32" s="47" t="s">
        <v>38</v>
      </c>
      <c r="E32" s="61" t="s">
        <v>20</v>
      </c>
      <c r="F32" s="61" t="s">
        <v>20</v>
      </c>
      <c r="G32" s="61" t="s">
        <v>20</v>
      </c>
      <c r="H32" s="61" t="s">
        <v>20</v>
      </c>
      <c r="I32" s="61" t="s">
        <v>20</v>
      </c>
      <c r="J32" s="61" t="s">
        <v>20</v>
      </c>
      <c r="K32" s="13"/>
      <c r="L32" s="25"/>
      <c r="M32" s="13"/>
      <c r="N32" s="13"/>
      <c r="O32" s="13"/>
    </row>
    <row r="33" spans="2:15" x14ac:dyDescent="0.2">
      <c r="D33" s="15"/>
    </row>
    <row r="34" spans="2:15" x14ac:dyDescent="0.2">
      <c r="B34" s="17" t="s">
        <v>43</v>
      </c>
      <c r="C34" s="18" t="s">
        <v>28</v>
      </c>
      <c r="D34" s="19">
        <v>1</v>
      </c>
      <c r="E34" s="20">
        <v>2</v>
      </c>
      <c r="F34" s="20">
        <v>3</v>
      </c>
      <c r="G34" s="20">
        <v>4</v>
      </c>
      <c r="H34" s="20">
        <v>5</v>
      </c>
      <c r="I34" s="20">
        <v>6</v>
      </c>
      <c r="J34" s="20">
        <v>7</v>
      </c>
      <c r="K34" s="20"/>
      <c r="L34" s="51"/>
      <c r="M34" s="20"/>
      <c r="N34" s="20"/>
      <c r="O34" s="20"/>
    </row>
    <row r="35" spans="2:15" x14ac:dyDescent="0.2">
      <c r="B35" s="74" t="s">
        <v>39</v>
      </c>
      <c r="C35" s="75"/>
      <c r="D35" s="76" t="s">
        <v>38</v>
      </c>
      <c r="E35" s="76" t="s">
        <v>40</v>
      </c>
      <c r="F35" s="76" t="s">
        <v>40</v>
      </c>
      <c r="G35" s="76" t="s">
        <v>41</v>
      </c>
      <c r="H35" s="76" t="s">
        <v>40</v>
      </c>
      <c r="I35" s="76" t="s">
        <v>40</v>
      </c>
      <c r="J35" s="76" t="s">
        <v>40</v>
      </c>
      <c r="K35" s="77"/>
      <c r="L35" s="78"/>
      <c r="M35" s="77"/>
      <c r="N35" s="77"/>
      <c r="O35" s="77"/>
    </row>
    <row r="36" spans="2:15" x14ac:dyDescent="0.2">
      <c r="B36" s="27" t="s">
        <v>47</v>
      </c>
      <c r="C36" s="12"/>
      <c r="D36" s="23"/>
      <c r="E36" s="23"/>
      <c r="F36" s="23"/>
      <c r="G36" s="23"/>
      <c r="H36" s="23"/>
      <c r="I36" s="23"/>
      <c r="J36" s="23"/>
      <c r="L36" s="22"/>
    </row>
    <row r="37" spans="2:15" x14ac:dyDescent="0.2">
      <c r="B37" s="58" t="s">
        <v>45</v>
      </c>
      <c r="C37" s="12" t="s">
        <v>19</v>
      </c>
      <c r="D37" s="45" t="s">
        <v>38</v>
      </c>
      <c r="E37" s="23">
        <v>10.5</v>
      </c>
      <c r="F37" s="23">
        <f>6+0+5</f>
        <v>11</v>
      </c>
      <c r="G37" s="46" t="s">
        <v>20</v>
      </c>
      <c r="H37" s="23">
        <f>3</f>
        <v>3</v>
      </c>
      <c r="I37" s="23">
        <f>23+33+17</f>
        <v>73</v>
      </c>
      <c r="J37" s="46">
        <f>4+29+4</f>
        <v>37</v>
      </c>
    </row>
    <row r="38" spans="2:15" x14ac:dyDescent="0.2">
      <c r="B38" s="57" t="s">
        <v>46</v>
      </c>
      <c r="C38" s="53" t="s">
        <v>19</v>
      </c>
      <c r="D38" s="54" t="s">
        <v>38</v>
      </c>
      <c r="E38" s="46" t="s">
        <v>38</v>
      </c>
      <c r="F38" s="23">
        <f>2+0+1.5</f>
        <v>3.5</v>
      </c>
      <c r="G38" s="60" t="s">
        <v>20</v>
      </c>
      <c r="H38" s="46" t="s">
        <v>38</v>
      </c>
      <c r="I38" s="23">
        <f>36+13+23</f>
        <v>72</v>
      </c>
      <c r="J38" s="46">
        <f>6+2+4</f>
        <v>12</v>
      </c>
    </row>
    <row r="39" spans="2:15" x14ac:dyDescent="0.2">
      <c r="B39" s="27" t="s">
        <v>48</v>
      </c>
      <c r="C39" s="53"/>
      <c r="D39" s="54"/>
      <c r="E39" s="23"/>
      <c r="F39" s="23"/>
      <c r="G39" s="55"/>
      <c r="H39" s="23"/>
      <c r="I39" s="23"/>
      <c r="J39" s="46"/>
    </row>
    <row r="40" spans="2:15" x14ac:dyDescent="0.2">
      <c r="B40" s="58" t="s">
        <v>45</v>
      </c>
      <c r="C40" s="12" t="s">
        <v>19</v>
      </c>
      <c r="D40" s="54" t="s">
        <v>38</v>
      </c>
      <c r="E40" s="23">
        <v>7.5</v>
      </c>
      <c r="F40" s="23">
        <v>4.5</v>
      </c>
      <c r="G40" s="60" t="s">
        <v>20</v>
      </c>
      <c r="H40" s="46" t="s">
        <v>38</v>
      </c>
      <c r="I40" s="23">
        <v>8</v>
      </c>
      <c r="J40" s="46">
        <v>3</v>
      </c>
    </row>
    <row r="41" spans="2:15" x14ac:dyDescent="0.2">
      <c r="B41" s="57" t="s">
        <v>46</v>
      </c>
      <c r="C41" s="53" t="s">
        <v>19</v>
      </c>
      <c r="D41" s="54" t="s">
        <v>38</v>
      </c>
      <c r="E41" s="23">
        <v>14.5</v>
      </c>
      <c r="F41" s="23">
        <v>5</v>
      </c>
      <c r="G41" s="60" t="s">
        <v>20</v>
      </c>
      <c r="H41" s="46" t="s">
        <v>38</v>
      </c>
      <c r="I41" s="23">
        <v>5</v>
      </c>
      <c r="J41" s="46">
        <v>5</v>
      </c>
    </row>
    <row r="42" spans="2:15" x14ac:dyDescent="0.2">
      <c r="B42" s="27" t="s">
        <v>49</v>
      </c>
      <c r="C42" s="53"/>
      <c r="D42" s="54"/>
      <c r="E42" s="23"/>
      <c r="F42" s="23"/>
      <c r="G42" s="55"/>
      <c r="H42" s="23"/>
      <c r="I42" s="23"/>
      <c r="J42" s="46"/>
    </row>
    <row r="43" spans="2:15" x14ac:dyDescent="0.2">
      <c r="B43" s="58" t="s">
        <v>45</v>
      </c>
      <c r="C43" s="12" t="s">
        <v>19</v>
      </c>
      <c r="D43" s="54" t="s">
        <v>38</v>
      </c>
      <c r="E43" s="105">
        <f>AVERAGE($I43:$J43)</f>
        <v>10.5</v>
      </c>
      <c r="F43" s="105">
        <f>AVERAGE($I43:$J43)</f>
        <v>10.5</v>
      </c>
      <c r="G43" s="60" t="s">
        <v>20</v>
      </c>
      <c r="H43" s="46" t="s">
        <v>38</v>
      </c>
      <c r="I43" s="23">
        <v>18</v>
      </c>
      <c r="J43" s="46">
        <v>3</v>
      </c>
      <c r="L43" s="185"/>
      <c r="M43" s="185"/>
      <c r="N43" s="185"/>
      <c r="O43" s="185"/>
    </row>
    <row r="44" spans="2:15" x14ac:dyDescent="0.2">
      <c r="B44" s="57" t="s">
        <v>46</v>
      </c>
      <c r="C44" s="53" t="s">
        <v>19</v>
      </c>
      <c r="D44" s="54" t="s">
        <v>38</v>
      </c>
      <c r="E44" s="105">
        <f>AVERAGE($I44:$J44)</f>
        <v>13.75</v>
      </c>
      <c r="F44" s="105">
        <f>AVERAGE($I44:$J44)</f>
        <v>13.75</v>
      </c>
      <c r="G44" s="60" t="s">
        <v>20</v>
      </c>
      <c r="H44" s="46" t="s">
        <v>38</v>
      </c>
      <c r="I44" s="23">
        <v>23</v>
      </c>
      <c r="J44" s="46">
        <v>4.5</v>
      </c>
      <c r="L44" s="185"/>
      <c r="M44" s="185"/>
      <c r="N44" s="185"/>
      <c r="O44" s="185"/>
    </row>
    <row r="45" spans="2:15" x14ac:dyDescent="0.2">
      <c r="B45" s="27" t="s">
        <v>50</v>
      </c>
      <c r="C45" s="53"/>
      <c r="D45" s="54"/>
      <c r="E45" s="120"/>
      <c r="F45" s="120"/>
      <c r="G45" s="55"/>
      <c r="H45" s="23"/>
      <c r="I45" s="23"/>
      <c r="J45" s="46"/>
      <c r="L45" s="185"/>
      <c r="M45" s="185"/>
      <c r="N45" s="185"/>
      <c r="O45" s="185"/>
    </row>
    <row r="46" spans="2:15" x14ac:dyDescent="0.2">
      <c r="B46" s="58" t="s">
        <v>45</v>
      </c>
      <c r="C46" s="12" t="s">
        <v>19</v>
      </c>
      <c r="D46" s="54" t="s">
        <v>38</v>
      </c>
      <c r="E46" s="105">
        <f>AVERAGE($I46:$J46)</f>
        <v>33.5</v>
      </c>
      <c r="F46" s="105">
        <f>AVERAGE($I46:$J46)</f>
        <v>33.5</v>
      </c>
      <c r="G46" s="60" t="s">
        <v>20</v>
      </c>
      <c r="H46" s="46" t="s">
        <v>38</v>
      </c>
      <c r="I46" s="23">
        <v>44</v>
      </c>
      <c r="J46" s="46">
        <v>23</v>
      </c>
      <c r="L46" s="185"/>
      <c r="M46" s="185"/>
      <c r="N46" s="185"/>
      <c r="O46" s="185"/>
    </row>
    <row r="47" spans="2:15" x14ac:dyDescent="0.2">
      <c r="B47" s="57" t="s">
        <v>46</v>
      </c>
      <c r="C47" s="53" t="s">
        <v>19</v>
      </c>
      <c r="D47" s="54" t="s">
        <v>38</v>
      </c>
      <c r="E47" s="105">
        <f>AVERAGE($I47:$J47)</f>
        <v>22</v>
      </c>
      <c r="F47" s="105">
        <f>AVERAGE($I47:$J47)</f>
        <v>22</v>
      </c>
      <c r="G47" s="60" t="s">
        <v>20</v>
      </c>
      <c r="H47" s="46" t="s">
        <v>38</v>
      </c>
      <c r="I47" s="23">
        <v>29</v>
      </c>
      <c r="J47" s="46">
        <v>15</v>
      </c>
      <c r="L47" s="185"/>
      <c r="M47" s="185"/>
      <c r="N47" s="185"/>
      <c r="O47" s="185"/>
    </row>
    <row r="48" spans="2:15" x14ac:dyDescent="0.2">
      <c r="B48" s="26" t="s">
        <v>29</v>
      </c>
      <c r="C48" s="53"/>
      <c r="D48" s="54"/>
      <c r="E48" s="55"/>
      <c r="F48" s="55"/>
      <c r="G48" s="55"/>
      <c r="H48" s="55"/>
      <c r="I48" s="55"/>
      <c r="J48" s="55"/>
      <c r="K48" s="1"/>
      <c r="L48" s="56"/>
      <c r="M48" s="1"/>
      <c r="N48" s="1"/>
      <c r="O48" s="1"/>
    </row>
    <row r="49" spans="2:15" x14ac:dyDescent="0.2">
      <c r="B49" s="58" t="s">
        <v>45</v>
      </c>
      <c r="C49" s="12" t="s">
        <v>19</v>
      </c>
      <c r="D49" s="54" t="s">
        <v>38</v>
      </c>
      <c r="E49" s="60" t="s">
        <v>38</v>
      </c>
      <c r="F49" s="60" t="s">
        <v>38</v>
      </c>
      <c r="G49" s="60" t="s">
        <v>20</v>
      </c>
      <c r="H49" s="60" t="s">
        <v>38</v>
      </c>
      <c r="I49" s="60" t="s">
        <v>38</v>
      </c>
      <c r="J49" s="60" t="s">
        <v>38</v>
      </c>
      <c r="K49" s="1"/>
      <c r="L49" s="56"/>
      <c r="M49" s="1"/>
      <c r="N49" s="1"/>
      <c r="O49" s="1"/>
    </row>
    <row r="50" spans="2:15" x14ac:dyDescent="0.2">
      <c r="B50" s="59" t="s">
        <v>46</v>
      </c>
      <c r="C50" s="14" t="s">
        <v>19</v>
      </c>
      <c r="D50" s="47" t="s">
        <v>38</v>
      </c>
      <c r="E50" s="61" t="s">
        <v>38</v>
      </c>
      <c r="F50" s="61">
        <v>3</v>
      </c>
      <c r="G50" s="61" t="s">
        <v>20</v>
      </c>
      <c r="H50" s="61" t="s">
        <v>38</v>
      </c>
      <c r="I50" s="24">
        <v>4</v>
      </c>
      <c r="J50" s="61" t="s">
        <v>38</v>
      </c>
      <c r="K50" s="13"/>
      <c r="L50" s="25"/>
      <c r="M50" s="13"/>
      <c r="N50" s="13"/>
      <c r="O50" s="13"/>
    </row>
    <row r="51" spans="2:15" x14ac:dyDescent="0.2"/>
    <row r="52" spans="2:15" x14ac:dyDescent="0.2">
      <c r="B52" s="17" t="s">
        <v>44</v>
      </c>
      <c r="C52" s="18" t="s">
        <v>28</v>
      </c>
      <c r="D52" s="19">
        <v>1</v>
      </c>
      <c r="E52" s="20">
        <v>2</v>
      </c>
      <c r="F52" s="20">
        <v>3</v>
      </c>
      <c r="G52" s="20">
        <v>4</v>
      </c>
      <c r="H52" s="20">
        <v>5</v>
      </c>
      <c r="I52" s="20">
        <v>6</v>
      </c>
      <c r="J52" s="20">
        <v>7</v>
      </c>
      <c r="K52" s="20"/>
      <c r="L52" s="51"/>
      <c r="M52" s="20"/>
      <c r="N52" s="20"/>
      <c r="O52" s="20"/>
    </row>
    <row r="53" spans="2:15" x14ac:dyDescent="0.2">
      <c r="B53" s="74" t="s">
        <v>39</v>
      </c>
      <c r="C53" s="75"/>
      <c r="D53" s="76" t="s">
        <v>38</v>
      </c>
      <c r="E53" s="76" t="s">
        <v>41</v>
      </c>
      <c r="F53" s="76" t="s">
        <v>40</v>
      </c>
      <c r="G53" s="76" t="s">
        <v>41</v>
      </c>
      <c r="H53" s="76" t="s">
        <v>41</v>
      </c>
      <c r="I53" s="76" t="s">
        <v>40</v>
      </c>
      <c r="J53" s="76" t="s">
        <v>40</v>
      </c>
      <c r="K53" s="77"/>
      <c r="L53" s="78"/>
      <c r="M53" s="77"/>
      <c r="N53" s="77"/>
      <c r="O53" s="77"/>
    </row>
    <row r="54" spans="2:15" x14ac:dyDescent="0.2">
      <c r="B54" s="27" t="s">
        <v>47</v>
      </c>
      <c r="C54" s="12"/>
      <c r="D54" s="23"/>
      <c r="E54" s="23"/>
      <c r="F54" s="23"/>
      <c r="G54" s="23"/>
      <c r="H54" s="23"/>
      <c r="I54" s="23"/>
      <c r="J54" s="23"/>
      <c r="L54" s="22"/>
    </row>
    <row r="55" spans="2:15" x14ac:dyDescent="0.2">
      <c r="B55" s="58" t="s">
        <v>45</v>
      </c>
      <c r="C55" s="12" t="s">
        <v>19</v>
      </c>
      <c r="D55" s="45" t="s">
        <v>38</v>
      </c>
      <c r="E55" s="46" t="s">
        <v>20</v>
      </c>
      <c r="F55" s="23">
        <f>1.5+0+3</f>
        <v>4.5</v>
      </c>
      <c r="G55" s="46" t="s">
        <v>20</v>
      </c>
      <c r="H55" s="46" t="s">
        <v>20</v>
      </c>
      <c r="I55" s="23">
        <f>4.5+9+0</f>
        <v>13.5</v>
      </c>
      <c r="J55" s="46">
        <f>0.7+0.5</f>
        <v>1.2</v>
      </c>
    </row>
    <row r="56" spans="2:15" x14ac:dyDescent="0.2">
      <c r="B56" s="57" t="s">
        <v>46</v>
      </c>
      <c r="C56" s="53" t="s">
        <v>19</v>
      </c>
      <c r="D56" s="54" t="s">
        <v>38</v>
      </c>
      <c r="E56" s="60" t="s">
        <v>20</v>
      </c>
      <c r="F56" s="46" t="s">
        <v>38</v>
      </c>
      <c r="G56" s="60" t="s">
        <v>20</v>
      </c>
      <c r="H56" s="60" t="s">
        <v>20</v>
      </c>
      <c r="I56" s="23">
        <f>18+8+0</f>
        <v>26</v>
      </c>
      <c r="J56" s="46">
        <f>0.7+0.5</f>
        <v>1.2</v>
      </c>
    </row>
    <row r="57" spans="2:15" x14ac:dyDescent="0.2">
      <c r="B57" s="27" t="s">
        <v>48</v>
      </c>
      <c r="C57" s="53"/>
      <c r="D57" s="54"/>
      <c r="E57" s="55"/>
      <c r="F57" s="46"/>
      <c r="G57" s="55"/>
      <c r="H57" s="55"/>
      <c r="I57" s="23"/>
      <c r="J57" s="46"/>
    </row>
    <row r="58" spans="2:15" x14ac:dyDescent="0.2">
      <c r="B58" s="58" t="s">
        <v>45</v>
      </c>
      <c r="C58" s="12" t="s">
        <v>19</v>
      </c>
      <c r="D58" s="54" t="s">
        <v>38</v>
      </c>
      <c r="E58" s="60" t="s">
        <v>20</v>
      </c>
      <c r="F58" s="46">
        <v>3.5</v>
      </c>
      <c r="G58" s="60" t="s">
        <v>20</v>
      </c>
      <c r="H58" s="60" t="s">
        <v>20</v>
      </c>
      <c r="I58" s="23">
        <v>0</v>
      </c>
      <c r="J58" s="46">
        <v>3.5</v>
      </c>
    </row>
    <row r="59" spans="2:15" x14ac:dyDescent="0.2">
      <c r="B59" s="57" t="s">
        <v>46</v>
      </c>
      <c r="C59" s="53" t="s">
        <v>19</v>
      </c>
      <c r="D59" s="54" t="s">
        <v>38</v>
      </c>
      <c r="E59" s="60" t="s">
        <v>20</v>
      </c>
      <c r="F59" s="46" t="s">
        <v>38</v>
      </c>
      <c r="G59" s="60" t="s">
        <v>20</v>
      </c>
      <c r="H59" s="60" t="s">
        <v>20</v>
      </c>
      <c r="I59" s="23">
        <v>0</v>
      </c>
      <c r="J59" s="46">
        <v>2.5</v>
      </c>
    </row>
    <row r="60" spans="2:15" x14ac:dyDescent="0.2">
      <c r="B60" s="27" t="s">
        <v>49</v>
      </c>
      <c r="C60" s="53"/>
      <c r="D60" s="54"/>
      <c r="E60" s="55"/>
      <c r="F60" s="46"/>
      <c r="G60" s="55"/>
      <c r="H60" s="55"/>
      <c r="I60" s="23"/>
      <c r="J60" s="46"/>
    </row>
    <row r="61" spans="2:15" x14ac:dyDescent="0.2">
      <c r="B61" s="58" t="s">
        <v>45</v>
      </c>
      <c r="C61" s="12" t="s">
        <v>19</v>
      </c>
      <c r="D61" s="54" t="s">
        <v>38</v>
      </c>
      <c r="E61" s="60" t="s">
        <v>20</v>
      </c>
      <c r="F61" s="46">
        <v>0</v>
      </c>
      <c r="G61" s="60" t="s">
        <v>20</v>
      </c>
      <c r="H61" s="60" t="s">
        <v>20</v>
      </c>
      <c r="I61" s="23">
        <v>10</v>
      </c>
      <c r="J61" s="46">
        <v>0.7</v>
      </c>
    </row>
    <row r="62" spans="2:15" x14ac:dyDescent="0.2">
      <c r="B62" s="57" t="s">
        <v>46</v>
      </c>
      <c r="C62" s="53" t="s">
        <v>19</v>
      </c>
      <c r="D62" s="54" t="s">
        <v>38</v>
      </c>
      <c r="E62" s="60" t="s">
        <v>20</v>
      </c>
      <c r="F62" s="46" t="s">
        <v>38</v>
      </c>
      <c r="G62" s="60" t="s">
        <v>20</v>
      </c>
      <c r="H62" s="60" t="s">
        <v>20</v>
      </c>
      <c r="I62" s="23">
        <v>15</v>
      </c>
      <c r="J62" s="46">
        <v>0.5</v>
      </c>
    </row>
    <row r="63" spans="2:15" x14ac:dyDescent="0.2">
      <c r="B63" s="27" t="s">
        <v>50</v>
      </c>
      <c r="C63" s="53"/>
      <c r="D63" s="54"/>
      <c r="E63" s="55"/>
      <c r="F63" s="46"/>
      <c r="G63" s="55"/>
      <c r="H63" s="55"/>
      <c r="I63" s="23"/>
      <c r="J63" s="46"/>
    </row>
    <row r="64" spans="2:15" x14ac:dyDescent="0.2">
      <c r="B64" s="58" t="s">
        <v>45</v>
      </c>
      <c r="C64" s="12" t="s">
        <v>19</v>
      </c>
      <c r="D64" s="54" t="s">
        <v>38</v>
      </c>
      <c r="E64" s="60" t="s">
        <v>20</v>
      </c>
      <c r="F64" s="46">
        <v>0</v>
      </c>
      <c r="G64" s="60" t="s">
        <v>20</v>
      </c>
      <c r="H64" s="60" t="s">
        <v>20</v>
      </c>
      <c r="I64" s="46" t="s">
        <v>38</v>
      </c>
      <c r="J64" s="46">
        <v>2.5</v>
      </c>
    </row>
    <row r="65" spans="2:15" x14ac:dyDescent="0.2">
      <c r="B65" s="57" t="s">
        <v>46</v>
      </c>
      <c r="C65" s="53" t="s">
        <v>19</v>
      </c>
      <c r="D65" s="54" t="s">
        <v>38</v>
      </c>
      <c r="E65" s="60" t="s">
        <v>20</v>
      </c>
      <c r="F65" s="46" t="s">
        <v>38</v>
      </c>
      <c r="G65" s="60" t="s">
        <v>20</v>
      </c>
      <c r="H65" s="60" t="s">
        <v>20</v>
      </c>
      <c r="I65" s="46" t="s">
        <v>38</v>
      </c>
      <c r="J65" s="46">
        <v>0.5</v>
      </c>
    </row>
    <row r="66" spans="2:15" x14ac:dyDescent="0.2">
      <c r="B66" s="26" t="s">
        <v>29</v>
      </c>
      <c r="C66" s="53"/>
      <c r="D66" s="54"/>
      <c r="E66" s="55"/>
      <c r="F66" s="55"/>
      <c r="G66" s="55"/>
      <c r="H66" s="55"/>
      <c r="I66" s="55"/>
      <c r="J66" s="55"/>
      <c r="K66" s="1"/>
      <c r="L66" s="56"/>
      <c r="M66" s="1"/>
      <c r="N66" s="1"/>
      <c r="O66" s="1"/>
    </row>
    <row r="67" spans="2:15" x14ac:dyDescent="0.2">
      <c r="B67" s="58" t="s">
        <v>45</v>
      </c>
      <c r="C67" s="12" t="s">
        <v>19</v>
      </c>
      <c r="D67" s="54" t="s">
        <v>38</v>
      </c>
      <c r="E67" s="60" t="s">
        <v>20</v>
      </c>
      <c r="F67" s="60" t="s">
        <v>38</v>
      </c>
      <c r="G67" s="60" t="s">
        <v>20</v>
      </c>
      <c r="H67" s="60" t="s">
        <v>20</v>
      </c>
      <c r="I67" s="60" t="s">
        <v>38</v>
      </c>
      <c r="J67" s="60" t="s">
        <v>38</v>
      </c>
      <c r="K67" s="1"/>
      <c r="L67" s="56"/>
      <c r="M67" s="1"/>
      <c r="N67" s="1"/>
      <c r="O67" s="1"/>
    </row>
    <row r="68" spans="2:15" x14ac:dyDescent="0.2">
      <c r="B68" s="59" t="s">
        <v>46</v>
      </c>
      <c r="C68" s="14" t="s">
        <v>19</v>
      </c>
      <c r="D68" s="47" t="s">
        <v>38</v>
      </c>
      <c r="E68" s="61" t="s">
        <v>20</v>
      </c>
      <c r="F68" s="61" t="s">
        <v>38</v>
      </c>
      <c r="G68" s="61" t="s">
        <v>20</v>
      </c>
      <c r="H68" s="61" t="s">
        <v>20</v>
      </c>
      <c r="I68" s="61" t="s">
        <v>38</v>
      </c>
      <c r="J68" s="61" t="s">
        <v>38</v>
      </c>
      <c r="K68" s="13"/>
      <c r="L68" s="25"/>
      <c r="M68" s="13"/>
      <c r="N68" s="13"/>
      <c r="O68" s="13"/>
    </row>
    <row r="69" spans="2:15" x14ac:dyDescent="0.2"/>
    <row r="70" spans="2:15" x14ac:dyDescent="0.2">
      <c r="B70" s="17" t="s">
        <v>52</v>
      </c>
      <c r="C70" s="18" t="s">
        <v>28</v>
      </c>
      <c r="D70" s="19">
        <v>1</v>
      </c>
      <c r="E70" s="20">
        <v>2</v>
      </c>
      <c r="F70" s="20">
        <v>3</v>
      </c>
      <c r="G70" s="20">
        <v>4</v>
      </c>
      <c r="H70" s="20">
        <v>5</v>
      </c>
      <c r="I70" s="20">
        <v>6</v>
      </c>
      <c r="J70" s="20">
        <v>7</v>
      </c>
      <c r="K70" s="20"/>
      <c r="L70" s="51"/>
      <c r="M70" s="20"/>
      <c r="N70" s="20"/>
      <c r="O70" s="20"/>
    </row>
    <row r="71" spans="2:15" x14ac:dyDescent="0.2">
      <c r="B71" s="74" t="s">
        <v>39</v>
      </c>
      <c r="C71" s="75"/>
      <c r="D71" s="76" t="s">
        <v>38</v>
      </c>
      <c r="E71" s="76" t="s">
        <v>41</v>
      </c>
      <c r="F71" s="76" t="s">
        <v>40</v>
      </c>
      <c r="G71" s="76" t="s">
        <v>40</v>
      </c>
      <c r="H71" s="76" t="s">
        <v>41</v>
      </c>
      <c r="I71" s="76" t="s">
        <v>40</v>
      </c>
      <c r="J71" s="76" t="s">
        <v>40</v>
      </c>
      <c r="K71" s="77"/>
      <c r="L71" s="78"/>
      <c r="M71" s="77"/>
      <c r="N71" s="77"/>
      <c r="O71" s="77"/>
    </row>
    <row r="72" spans="2:15" x14ac:dyDescent="0.2">
      <c r="B72" s="27" t="s">
        <v>47</v>
      </c>
      <c r="C72" s="12"/>
      <c r="D72" s="23"/>
      <c r="E72" s="23"/>
      <c r="F72" s="46"/>
      <c r="G72" s="46"/>
      <c r="H72" s="23"/>
      <c r="I72" s="23"/>
      <c r="J72" s="46"/>
    </row>
    <row r="73" spans="2:15" x14ac:dyDescent="0.2">
      <c r="B73" s="58" t="s">
        <v>45</v>
      </c>
      <c r="C73" s="12" t="s">
        <v>19</v>
      </c>
      <c r="D73" s="45" t="s">
        <v>38</v>
      </c>
      <c r="E73" s="46" t="s">
        <v>20</v>
      </c>
      <c r="F73" s="46">
        <f>9+3+8</f>
        <v>20</v>
      </c>
      <c r="G73" s="46">
        <f>36+29+33</f>
        <v>98</v>
      </c>
      <c r="H73" s="46" t="s">
        <v>20</v>
      </c>
      <c r="I73" s="23">
        <f>13.5+0+7</f>
        <v>20.5</v>
      </c>
      <c r="J73" s="46">
        <f>4+35.5+19</f>
        <v>58.5</v>
      </c>
    </row>
    <row r="74" spans="2:15" x14ac:dyDescent="0.2">
      <c r="B74" s="57" t="s">
        <v>46</v>
      </c>
      <c r="C74" s="53" t="s">
        <v>19</v>
      </c>
      <c r="D74" s="54" t="s">
        <v>38</v>
      </c>
      <c r="E74" s="60" t="s">
        <v>20</v>
      </c>
      <c r="F74" s="46">
        <f>3+0+0</f>
        <v>3</v>
      </c>
      <c r="G74" s="46">
        <f>15+13+50</f>
        <v>78</v>
      </c>
      <c r="H74" s="60" t="s">
        <v>20</v>
      </c>
      <c r="I74" s="23">
        <f>26+0+2</f>
        <v>28</v>
      </c>
      <c r="J74" s="46">
        <f>5.5+6.5+18.5</f>
        <v>30.5</v>
      </c>
    </row>
    <row r="75" spans="2:15" x14ac:dyDescent="0.2">
      <c r="B75" s="27" t="s">
        <v>48</v>
      </c>
      <c r="C75" s="53"/>
      <c r="D75" s="54"/>
      <c r="E75" s="55"/>
      <c r="F75" s="46"/>
      <c r="G75" s="46"/>
      <c r="H75" s="55"/>
      <c r="I75" s="23"/>
      <c r="J75" s="46"/>
    </row>
    <row r="76" spans="2:15" x14ac:dyDescent="0.2">
      <c r="B76" s="58" t="s">
        <v>45</v>
      </c>
      <c r="C76" s="12" t="s">
        <v>19</v>
      </c>
      <c r="D76" s="54" t="s">
        <v>38</v>
      </c>
      <c r="E76" s="60" t="s">
        <v>20</v>
      </c>
      <c r="F76" s="46">
        <v>10</v>
      </c>
      <c r="G76" s="46">
        <v>23</v>
      </c>
      <c r="H76" s="60" t="s">
        <v>20</v>
      </c>
      <c r="I76" s="23">
        <v>16</v>
      </c>
      <c r="J76" s="46">
        <v>15</v>
      </c>
    </row>
    <row r="77" spans="2:15" x14ac:dyDescent="0.2">
      <c r="B77" s="57" t="s">
        <v>46</v>
      </c>
      <c r="C77" s="53" t="s">
        <v>19</v>
      </c>
      <c r="D77" s="54" t="s">
        <v>38</v>
      </c>
      <c r="E77" s="60" t="s">
        <v>20</v>
      </c>
      <c r="F77" s="46">
        <v>2</v>
      </c>
      <c r="G77" s="46">
        <v>2</v>
      </c>
      <c r="H77" s="60" t="s">
        <v>20</v>
      </c>
      <c r="I77" s="23">
        <v>2</v>
      </c>
      <c r="J77" s="46">
        <v>5</v>
      </c>
    </row>
    <row r="78" spans="2:15" x14ac:dyDescent="0.2">
      <c r="B78" s="27" t="s">
        <v>49</v>
      </c>
      <c r="C78" s="53"/>
      <c r="D78" s="54"/>
      <c r="E78" s="55"/>
      <c r="F78" s="46"/>
      <c r="G78" s="46"/>
      <c r="H78" s="55"/>
      <c r="I78" s="23"/>
      <c r="J78" s="46"/>
    </row>
    <row r="79" spans="2:15" x14ac:dyDescent="0.2">
      <c r="B79" s="58" t="s">
        <v>45</v>
      </c>
      <c r="C79" s="12" t="s">
        <v>19</v>
      </c>
      <c r="D79" s="54" t="s">
        <v>38</v>
      </c>
      <c r="E79" s="60" t="s">
        <v>20</v>
      </c>
      <c r="F79" s="105">
        <f>AVERAGE(I79:J79)</f>
        <v>19.5</v>
      </c>
      <c r="G79" s="46" t="s">
        <v>38</v>
      </c>
      <c r="H79" s="60" t="s">
        <v>20</v>
      </c>
      <c r="I79" s="23">
        <v>6</v>
      </c>
      <c r="J79" s="46">
        <v>33</v>
      </c>
      <c r="L79" s="185"/>
      <c r="M79" s="185"/>
      <c r="N79" s="185"/>
      <c r="O79" s="185"/>
    </row>
    <row r="80" spans="2:15" x14ac:dyDescent="0.2">
      <c r="B80" s="57" t="s">
        <v>46</v>
      </c>
      <c r="C80" s="53" t="s">
        <v>19</v>
      </c>
      <c r="D80" s="54" t="s">
        <v>38</v>
      </c>
      <c r="E80" s="60" t="s">
        <v>20</v>
      </c>
      <c r="F80" s="105">
        <f>AVERAGE(I80:J80)</f>
        <v>7.75</v>
      </c>
      <c r="G80" s="46" t="s">
        <v>38</v>
      </c>
      <c r="H80" s="60" t="s">
        <v>20</v>
      </c>
      <c r="I80" s="23">
        <v>3</v>
      </c>
      <c r="J80" s="46">
        <v>12.5</v>
      </c>
      <c r="L80" s="185"/>
      <c r="M80" s="185"/>
      <c r="N80" s="185"/>
      <c r="O80" s="185"/>
    </row>
    <row r="81" spans="2:15" x14ac:dyDescent="0.2">
      <c r="B81" s="27" t="s">
        <v>50</v>
      </c>
      <c r="C81" s="53"/>
      <c r="D81" s="54"/>
      <c r="E81" s="55"/>
      <c r="F81" s="46"/>
      <c r="G81" s="46"/>
      <c r="H81" s="55"/>
      <c r="I81" s="23"/>
      <c r="J81" s="46"/>
      <c r="L81" s="185"/>
      <c r="M81" s="185"/>
      <c r="N81" s="185"/>
      <c r="O81" s="185"/>
    </row>
    <row r="82" spans="2:15" x14ac:dyDescent="0.2">
      <c r="B82" s="58" t="s">
        <v>45</v>
      </c>
      <c r="C82" s="12" t="s">
        <v>19</v>
      </c>
      <c r="D82" s="54" t="s">
        <v>38</v>
      </c>
      <c r="E82" s="60" t="s">
        <v>20</v>
      </c>
      <c r="F82" s="46">
        <v>0</v>
      </c>
      <c r="G82" s="46" t="s">
        <v>38</v>
      </c>
      <c r="H82" s="60" t="s">
        <v>20</v>
      </c>
      <c r="I82" s="23">
        <v>0</v>
      </c>
      <c r="J82" s="46" t="s">
        <v>38</v>
      </c>
      <c r="L82" s="185"/>
      <c r="M82" s="185"/>
      <c r="N82" s="185"/>
      <c r="O82" s="185"/>
    </row>
    <row r="83" spans="2:15" x14ac:dyDescent="0.2">
      <c r="B83" s="57" t="s">
        <v>46</v>
      </c>
      <c r="C83" s="53" t="s">
        <v>19</v>
      </c>
      <c r="D83" s="54" t="s">
        <v>38</v>
      </c>
      <c r="E83" s="60" t="s">
        <v>20</v>
      </c>
      <c r="F83" s="46">
        <v>0</v>
      </c>
      <c r="G83" s="46" t="s">
        <v>38</v>
      </c>
      <c r="H83" s="60" t="s">
        <v>20</v>
      </c>
      <c r="I83" s="46">
        <v>0</v>
      </c>
      <c r="J83" s="46" t="s">
        <v>38</v>
      </c>
      <c r="L83" s="185"/>
      <c r="M83" s="185"/>
      <c r="N83" s="185"/>
      <c r="O83" s="185"/>
    </row>
    <row r="84" spans="2:15" x14ac:dyDescent="0.2">
      <c r="B84" s="26" t="s">
        <v>29</v>
      </c>
      <c r="C84" s="53"/>
      <c r="D84" s="54"/>
      <c r="E84" s="55"/>
      <c r="F84" s="55"/>
      <c r="G84" s="55"/>
      <c r="H84" s="55"/>
      <c r="I84" s="55"/>
      <c r="J84" s="55"/>
      <c r="K84" s="1"/>
      <c r="L84" s="56"/>
      <c r="M84" s="1"/>
      <c r="N84" s="1"/>
      <c r="O84" s="1"/>
    </row>
    <row r="85" spans="2:15" x14ac:dyDescent="0.2">
      <c r="B85" s="58" t="s">
        <v>45</v>
      </c>
      <c r="C85" s="12" t="s">
        <v>19</v>
      </c>
      <c r="D85" s="54" t="s">
        <v>38</v>
      </c>
      <c r="E85" s="60" t="s">
        <v>20</v>
      </c>
      <c r="F85" s="60" t="s">
        <v>38</v>
      </c>
      <c r="G85" s="60" t="s">
        <v>38</v>
      </c>
      <c r="H85" s="60" t="s">
        <v>20</v>
      </c>
      <c r="I85" s="60" t="s">
        <v>38</v>
      </c>
      <c r="J85" s="60" t="s">
        <v>38</v>
      </c>
      <c r="K85" s="1"/>
      <c r="L85" s="56"/>
      <c r="M85" s="1"/>
      <c r="N85" s="1"/>
      <c r="O85" s="1"/>
    </row>
    <row r="86" spans="2:15" x14ac:dyDescent="0.2">
      <c r="B86" s="59" t="s">
        <v>46</v>
      </c>
      <c r="C86" s="14" t="s">
        <v>19</v>
      </c>
      <c r="D86" s="47" t="s">
        <v>38</v>
      </c>
      <c r="E86" s="61" t="s">
        <v>20</v>
      </c>
      <c r="F86" s="61" t="s">
        <v>38</v>
      </c>
      <c r="G86" s="61" t="s">
        <v>38</v>
      </c>
      <c r="H86" s="61" t="s">
        <v>20</v>
      </c>
      <c r="I86" s="24">
        <v>4</v>
      </c>
      <c r="J86" s="61" t="s">
        <v>38</v>
      </c>
      <c r="K86" s="13"/>
      <c r="L86" s="25"/>
      <c r="M86" s="13"/>
      <c r="N86" s="13"/>
      <c r="O86" s="13"/>
    </row>
    <row r="87" spans="2:15" x14ac:dyDescent="0.2"/>
    <row r="88" spans="2:15" x14ac:dyDescent="0.2">
      <c r="B88" s="17" t="s">
        <v>51</v>
      </c>
      <c r="C88" s="18" t="s">
        <v>28</v>
      </c>
      <c r="D88" s="19">
        <v>1</v>
      </c>
      <c r="E88" s="20">
        <v>2</v>
      </c>
      <c r="F88" s="20">
        <v>3</v>
      </c>
      <c r="G88" s="20">
        <v>4</v>
      </c>
      <c r="H88" s="20">
        <v>5</v>
      </c>
      <c r="I88" s="20">
        <v>6</v>
      </c>
      <c r="J88" s="20">
        <v>7</v>
      </c>
      <c r="K88" s="20"/>
      <c r="L88" s="51"/>
      <c r="M88" s="20"/>
      <c r="N88" s="20"/>
      <c r="O88" s="20"/>
    </row>
    <row r="89" spans="2:15" x14ac:dyDescent="0.2">
      <c r="B89" s="74" t="s">
        <v>39</v>
      </c>
      <c r="C89" s="75"/>
      <c r="D89" s="76" t="s">
        <v>38</v>
      </c>
      <c r="E89" s="76" t="s">
        <v>40</v>
      </c>
      <c r="F89" s="76" t="s">
        <v>40</v>
      </c>
      <c r="G89" s="76" t="s">
        <v>40</v>
      </c>
      <c r="H89" s="76" t="s">
        <v>40</v>
      </c>
      <c r="I89" s="76" t="s">
        <v>40</v>
      </c>
      <c r="J89" s="76" t="s">
        <v>40</v>
      </c>
      <c r="K89" s="77"/>
      <c r="L89" s="78"/>
      <c r="M89" s="77"/>
      <c r="N89" s="77"/>
      <c r="O89" s="77"/>
    </row>
    <row r="90" spans="2:15" x14ac:dyDescent="0.2">
      <c r="B90" s="27" t="s">
        <v>47</v>
      </c>
      <c r="C90" s="12"/>
      <c r="D90" s="23"/>
      <c r="E90" s="46"/>
      <c r="F90" s="46"/>
      <c r="G90" s="46"/>
      <c r="H90" s="23"/>
      <c r="I90" s="23"/>
      <c r="J90" s="46"/>
    </row>
    <row r="91" spans="2:15" x14ac:dyDescent="0.2">
      <c r="B91" s="58" t="s">
        <v>45</v>
      </c>
      <c r="C91" s="12" t="s">
        <v>19</v>
      </c>
      <c r="D91" s="45" t="s">
        <v>38</v>
      </c>
      <c r="E91" s="46">
        <f>8+10</f>
        <v>18</v>
      </c>
      <c r="F91" s="46">
        <f>8+7.5+0</f>
        <v>15.5</v>
      </c>
      <c r="G91" s="46">
        <f>11+43+34</f>
        <v>88</v>
      </c>
      <c r="H91" s="23">
        <f>47+15+38</f>
        <v>100</v>
      </c>
      <c r="I91" s="23">
        <f>12.5+0+25</f>
        <v>37.5</v>
      </c>
      <c r="J91" s="46">
        <f>5.5+2</f>
        <v>7.5</v>
      </c>
    </row>
    <row r="92" spans="2:15" x14ac:dyDescent="0.2">
      <c r="B92" s="57" t="s">
        <v>46</v>
      </c>
      <c r="C92" s="53" t="s">
        <v>19</v>
      </c>
      <c r="D92" s="54" t="s">
        <v>38</v>
      </c>
      <c r="E92" s="46" t="s">
        <v>38</v>
      </c>
      <c r="F92" s="46">
        <f>0+0+0</f>
        <v>0</v>
      </c>
      <c r="G92" s="46">
        <f>1+17+42</f>
        <v>60</v>
      </c>
      <c r="H92" s="23">
        <f>54+5+49</f>
        <v>108</v>
      </c>
      <c r="I92" s="23">
        <f>20+0+13.5</f>
        <v>33.5</v>
      </c>
      <c r="J92" s="46">
        <f>5</f>
        <v>5</v>
      </c>
    </row>
    <row r="93" spans="2:15" x14ac:dyDescent="0.2">
      <c r="B93" s="27" t="s">
        <v>48</v>
      </c>
      <c r="C93" s="53"/>
      <c r="D93" s="54"/>
      <c r="E93" s="46"/>
      <c r="F93" s="46"/>
      <c r="G93" s="46"/>
      <c r="H93" s="23"/>
      <c r="I93" s="23"/>
      <c r="J93" s="46"/>
    </row>
    <row r="94" spans="2:15" x14ac:dyDescent="0.2">
      <c r="B94" s="58" t="s">
        <v>45</v>
      </c>
      <c r="C94" s="12" t="s">
        <v>19</v>
      </c>
      <c r="D94" s="54" t="s">
        <v>38</v>
      </c>
      <c r="E94" s="46" t="s">
        <v>38</v>
      </c>
      <c r="F94" s="46">
        <v>5</v>
      </c>
      <c r="G94" s="46">
        <v>46</v>
      </c>
      <c r="H94" s="23">
        <v>44</v>
      </c>
      <c r="I94" s="23">
        <v>22</v>
      </c>
      <c r="J94" s="46" t="s">
        <v>38</v>
      </c>
    </row>
    <row r="95" spans="2:15" x14ac:dyDescent="0.2">
      <c r="B95" s="57" t="s">
        <v>46</v>
      </c>
      <c r="C95" s="53" t="s">
        <v>19</v>
      </c>
      <c r="D95" s="54" t="s">
        <v>38</v>
      </c>
      <c r="E95" s="46" t="s">
        <v>38</v>
      </c>
      <c r="F95" s="46">
        <v>1</v>
      </c>
      <c r="G95" s="46">
        <v>24</v>
      </c>
      <c r="H95" s="23">
        <v>19</v>
      </c>
      <c r="I95" s="23">
        <v>29</v>
      </c>
      <c r="J95" s="46" t="s">
        <v>38</v>
      </c>
    </row>
    <row r="96" spans="2:15" x14ac:dyDescent="0.2">
      <c r="B96" s="27" t="s">
        <v>49</v>
      </c>
      <c r="C96" s="53"/>
      <c r="D96" s="54"/>
      <c r="E96" s="46"/>
      <c r="F96" s="46"/>
      <c r="G96" s="46"/>
      <c r="H96" s="23"/>
      <c r="I96" s="23"/>
      <c r="J96" s="46"/>
    </row>
    <row r="97" spans="2:15" x14ac:dyDescent="0.2">
      <c r="B97" s="58" t="s">
        <v>45</v>
      </c>
      <c r="C97" s="12" t="s">
        <v>19</v>
      </c>
      <c r="D97" s="54" t="s">
        <v>38</v>
      </c>
      <c r="E97" s="46">
        <v>8.5</v>
      </c>
      <c r="F97" s="46">
        <v>0</v>
      </c>
      <c r="G97" s="46" t="s">
        <v>38</v>
      </c>
      <c r="H97" s="46" t="s">
        <v>38</v>
      </c>
      <c r="I97" s="23">
        <v>0</v>
      </c>
      <c r="J97" s="46" t="s">
        <v>38</v>
      </c>
    </row>
    <row r="98" spans="2:15" x14ac:dyDescent="0.2">
      <c r="B98" s="57" t="s">
        <v>46</v>
      </c>
      <c r="C98" s="53" t="s">
        <v>19</v>
      </c>
      <c r="D98" s="54" t="s">
        <v>38</v>
      </c>
      <c r="E98" s="46">
        <v>2</v>
      </c>
      <c r="F98" s="46">
        <v>0</v>
      </c>
      <c r="G98" s="46" t="s">
        <v>38</v>
      </c>
      <c r="H98" s="23">
        <v>0</v>
      </c>
      <c r="I98" s="23">
        <v>0</v>
      </c>
      <c r="J98" s="46" t="s">
        <v>38</v>
      </c>
    </row>
    <row r="99" spans="2:15" x14ac:dyDescent="0.2">
      <c r="B99" s="27" t="s">
        <v>50</v>
      </c>
      <c r="C99" s="53"/>
      <c r="D99" s="54"/>
      <c r="E99" s="46"/>
      <c r="F99" s="46"/>
      <c r="G99" s="46"/>
      <c r="H99" s="23"/>
      <c r="I99" s="23"/>
      <c r="J99" s="46"/>
    </row>
    <row r="100" spans="2:15" x14ac:dyDescent="0.2">
      <c r="B100" s="58" t="s">
        <v>45</v>
      </c>
      <c r="C100" s="12" t="s">
        <v>19</v>
      </c>
      <c r="D100" s="54" t="s">
        <v>38</v>
      </c>
      <c r="E100" s="46">
        <v>23</v>
      </c>
      <c r="F100" s="46">
        <v>15</v>
      </c>
      <c r="G100" s="46">
        <v>42</v>
      </c>
      <c r="H100" s="23">
        <v>16</v>
      </c>
      <c r="I100" s="23">
        <v>0</v>
      </c>
      <c r="J100" s="46" t="s">
        <v>38</v>
      </c>
    </row>
    <row r="101" spans="2:15" x14ac:dyDescent="0.2">
      <c r="B101" s="57" t="s">
        <v>46</v>
      </c>
      <c r="C101" s="53" t="s">
        <v>19</v>
      </c>
      <c r="D101" s="54" t="s">
        <v>38</v>
      </c>
      <c r="E101" s="46" t="s">
        <v>38</v>
      </c>
      <c r="F101" s="46">
        <v>1</v>
      </c>
      <c r="G101" s="46">
        <v>27</v>
      </c>
      <c r="H101" s="23">
        <v>10</v>
      </c>
      <c r="I101" s="23">
        <v>0</v>
      </c>
      <c r="J101" s="46" t="s">
        <v>38</v>
      </c>
    </row>
    <row r="102" spans="2:15" x14ac:dyDescent="0.2">
      <c r="B102" s="26" t="s">
        <v>29</v>
      </c>
      <c r="C102" s="53"/>
      <c r="D102" s="54"/>
      <c r="E102" s="55"/>
      <c r="F102" s="55"/>
      <c r="G102" s="55"/>
      <c r="H102" s="55"/>
      <c r="I102" s="55"/>
      <c r="J102" s="55"/>
      <c r="K102" s="1"/>
      <c r="L102" s="56"/>
      <c r="M102" s="1"/>
      <c r="N102" s="1"/>
      <c r="O102" s="1"/>
    </row>
    <row r="103" spans="2:15" x14ac:dyDescent="0.2">
      <c r="B103" s="58" t="s">
        <v>45</v>
      </c>
      <c r="C103" s="12" t="s">
        <v>19</v>
      </c>
      <c r="D103" s="54" t="s">
        <v>38</v>
      </c>
      <c r="E103" s="60" t="s">
        <v>38</v>
      </c>
      <c r="F103" s="60" t="s">
        <v>38</v>
      </c>
      <c r="G103" s="60" t="s">
        <v>38</v>
      </c>
      <c r="H103" s="60" t="s">
        <v>38</v>
      </c>
      <c r="I103" s="60" t="s">
        <v>38</v>
      </c>
      <c r="J103" s="60" t="s">
        <v>38</v>
      </c>
      <c r="K103" s="1"/>
      <c r="L103" s="56"/>
      <c r="M103" s="1"/>
      <c r="N103" s="1"/>
      <c r="O103" s="1"/>
    </row>
    <row r="104" spans="2:15" x14ac:dyDescent="0.2">
      <c r="B104" s="59" t="s">
        <v>46</v>
      </c>
      <c r="C104" s="14" t="s">
        <v>19</v>
      </c>
      <c r="D104" s="47" t="s">
        <v>38</v>
      </c>
      <c r="E104" s="61" t="s">
        <v>38</v>
      </c>
      <c r="F104" s="61" t="s">
        <v>38</v>
      </c>
      <c r="G104" s="61" t="s">
        <v>38</v>
      </c>
      <c r="H104" s="61" t="s">
        <v>38</v>
      </c>
      <c r="I104" s="24">
        <v>2</v>
      </c>
      <c r="J104" s="61" t="s">
        <v>38</v>
      </c>
      <c r="K104" s="13"/>
      <c r="L104" s="25"/>
      <c r="M104" s="13"/>
      <c r="N104" s="13"/>
      <c r="O104" s="13"/>
    </row>
    <row r="105" spans="2:15" x14ac:dyDescent="0.2">
      <c r="B105" s="57"/>
      <c r="C105" s="53"/>
      <c r="D105" s="54"/>
      <c r="E105" s="60"/>
      <c r="F105" s="60"/>
      <c r="G105" s="60"/>
      <c r="H105" s="55"/>
      <c r="I105" s="55"/>
      <c r="J105" s="60"/>
      <c r="K105" s="1"/>
      <c r="L105" s="56"/>
      <c r="M105" s="1"/>
      <c r="N105" s="1"/>
      <c r="O105" s="1"/>
    </row>
    <row r="106" spans="2:15" x14ac:dyDescent="0.2">
      <c r="B106" s="17" t="s">
        <v>53</v>
      </c>
      <c r="C106" s="18" t="s">
        <v>28</v>
      </c>
      <c r="D106" s="19">
        <v>1</v>
      </c>
      <c r="E106" s="20">
        <v>2</v>
      </c>
      <c r="F106" s="20">
        <v>3</v>
      </c>
      <c r="G106" s="20">
        <v>4</v>
      </c>
      <c r="H106" s="20">
        <v>5</v>
      </c>
      <c r="I106" s="20">
        <v>6</v>
      </c>
      <c r="J106" s="20">
        <v>7</v>
      </c>
      <c r="K106" s="20"/>
      <c r="L106" s="51"/>
      <c r="M106" s="20"/>
      <c r="N106" s="20"/>
      <c r="O106" s="20"/>
    </row>
    <row r="107" spans="2:15" x14ac:dyDescent="0.2">
      <c r="B107" s="74" t="s">
        <v>39</v>
      </c>
      <c r="C107" s="75"/>
      <c r="D107" s="76" t="s">
        <v>38</v>
      </c>
      <c r="E107" s="76" t="s">
        <v>40</v>
      </c>
      <c r="F107" s="76" t="s">
        <v>40</v>
      </c>
      <c r="G107" s="76" t="s">
        <v>89</v>
      </c>
      <c r="H107" s="76" t="s">
        <v>40</v>
      </c>
      <c r="I107" s="76" t="s">
        <v>40</v>
      </c>
      <c r="J107" s="76" t="s">
        <v>40</v>
      </c>
      <c r="K107" s="77"/>
      <c r="L107" s="78"/>
      <c r="M107" s="77"/>
      <c r="N107" s="77"/>
      <c r="O107" s="77"/>
    </row>
    <row r="108" spans="2:15" x14ac:dyDescent="0.2">
      <c r="B108" s="27" t="s">
        <v>47</v>
      </c>
      <c r="C108" s="12"/>
      <c r="D108" s="23"/>
      <c r="E108" s="46"/>
      <c r="F108" s="46"/>
      <c r="G108" s="46"/>
      <c r="H108" s="23"/>
      <c r="I108" s="23"/>
      <c r="J108" s="46"/>
    </row>
    <row r="109" spans="2:15" x14ac:dyDescent="0.2">
      <c r="B109" s="58" t="s">
        <v>45</v>
      </c>
      <c r="C109" s="12" t="s">
        <v>19</v>
      </c>
      <c r="D109" s="45" t="s">
        <v>38</v>
      </c>
      <c r="E109" s="46" t="s">
        <v>38</v>
      </c>
      <c r="F109" s="46">
        <f>0+1+2</f>
        <v>3</v>
      </c>
      <c r="G109" s="46" t="s">
        <v>20</v>
      </c>
      <c r="H109" s="46" t="s">
        <v>38</v>
      </c>
      <c r="I109" s="23">
        <f>0+3.5+2.5</f>
        <v>6</v>
      </c>
      <c r="J109" s="46">
        <f>2+2+1</f>
        <v>5</v>
      </c>
    </row>
    <row r="110" spans="2:15" x14ac:dyDescent="0.2">
      <c r="B110" s="57" t="s">
        <v>46</v>
      </c>
      <c r="C110" s="53" t="s">
        <v>19</v>
      </c>
      <c r="D110" s="54" t="s">
        <v>38</v>
      </c>
      <c r="E110" s="46">
        <v>3</v>
      </c>
      <c r="F110" s="46">
        <f>1+3</f>
        <v>4</v>
      </c>
      <c r="G110" s="60">
        <v>3</v>
      </c>
      <c r="H110" s="46">
        <f>2+3</f>
        <v>5</v>
      </c>
      <c r="I110" s="23">
        <f>3+3</f>
        <v>6</v>
      </c>
      <c r="J110" s="46">
        <f>2+3</f>
        <v>5</v>
      </c>
    </row>
    <row r="111" spans="2:15" x14ac:dyDescent="0.2">
      <c r="B111" s="27" t="s">
        <v>48</v>
      </c>
      <c r="C111" s="53"/>
      <c r="D111" s="54"/>
      <c r="E111" s="46"/>
      <c r="F111" s="46"/>
      <c r="G111" s="55"/>
      <c r="H111" s="23"/>
      <c r="I111" s="23"/>
      <c r="J111" s="46"/>
    </row>
    <row r="112" spans="2:15" x14ac:dyDescent="0.2">
      <c r="B112" s="58" t="s">
        <v>45</v>
      </c>
      <c r="C112" s="12" t="s">
        <v>19</v>
      </c>
      <c r="D112" s="54" t="s">
        <v>38</v>
      </c>
      <c r="E112" s="46" t="s">
        <v>38</v>
      </c>
      <c r="F112" s="46">
        <v>0</v>
      </c>
      <c r="G112" s="60" t="s">
        <v>20</v>
      </c>
      <c r="H112" s="46" t="s">
        <v>38</v>
      </c>
      <c r="I112" s="23">
        <v>0</v>
      </c>
      <c r="J112" s="46" t="s">
        <v>38</v>
      </c>
    </row>
    <row r="113" spans="2:15" x14ac:dyDescent="0.2">
      <c r="B113" s="57" t="s">
        <v>46</v>
      </c>
      <c r="C113" s="53" t="s">
        <v>19</v>
      </c>
      <c r="D113" s="46" t="s">
        <v>38</v>
      </c>
      <c r="E113" s="46">
        <v>1.5</v>
      </c>
      <c r="F113" s="60">
        <v>1.5</v>
      </c>
      <c r="G113" s="46">
        <v>1.5</v>
      </c>
      <c r="H113" s="23">
        <v>1.5</v>
      </c>
      <c r="I113" s="46">
        <v>1.5</v>
      </c>
      <c r="J113" s="46">
        <v>1.5</v>
      </c>
    </row>
    <row r="114" spans="2:15" x14ac:dyDescent="0.2">
      <c r="B114" s="27" t="s">
        <v>49</v>
      </c>
      <c r="C114" s="53"/>
      <c r="D114" s="54"/>
      <c r="E114" s="46"/>
      <c r="F114" s="46"/>
      <c r="G114" s="55"/>
      <c r="H114" s="23"/>
      <c r="I114" s="23"/>
      <c r="J114" s="46"/>
    </row>
    <row r="115" spans="2:15" x14ac:dyDescent="0.2">
      <c r="B115" s="58" t="s">
        <v>45</v>
      </c>
      <c r="C115" s="12" t="s">
        <v>19</v>
      </c>
      <c r="D115" s="54" t="s">
        <v>38</v>
      </c>
      <c r="E115" s="46">
        <v>3</v>
      </c>
      <c r="F115" s="46">
        <v>0</v>
      </c>
      <c r="G115" s="60" t="s">
        <v>20</v>
      </c>
      <c r="H115" s="46" t="s">
        <v>38</v>
      </c>
      <c r="I115" s="23">
        <v>0</v>
      </c>
      <c r="J115" s="46" t="s">
        <v>38</v>
      </c>
    </row>
    <row r="116" spans="2:15" x14ac:dyDescent="0.2">
      <c r="B116" s="57" t="s">
        <v>46</v>
      </c>
      <c r="C116" s="53" t="s">
        <v>19</v>
      </c>
      <c r="D116" s="54" t="s">
        <v>38</v>
      </c>
      <c r="E116" s="46">
        <v>1.5</v>
      </c>
      <c r="F116" s="46">
        <v>1.5</v>
      </c>
      <c r="G116" s="60">
        <v>1.5</v>
      </c>
      <c r="H116" s="46">
        <v>1.5</v>
      </c>
      <c r="I116" s="23">
        <v>1.5</v>
      </c>
      <c r="J116" s="46">
        <v>1.5</v>
      </c>
    </row>
    <row r="117" spans="2:15" x14ac:dyDescent="0.2">
      <c r="B117" s="27" t="s">
        <v>50</v>
      </c>
      <c r="C117" s="53"/>
      <c r="D117" s="54"/>
      <c r="E117" s="46"/>
      <c r="F117" s="46"/>
      <c r="G117" s="55"/>
      <c r="H117" s="23"/>
      <c r="I117" s="23"/>
      <c r="J117" s="46"/>
    </row>
    <row r="118" spans="2:15" x14ac:dyDescent="0.2">
      <c r="B118" s="58" t="s">
        <v>45</v>
      </c>
      <c r="C118" s="12" t="s">
        <v>19</v>
      </c>
      <c r="D118" s="54" t="s">
        <v>38</v>
      </c>
      <c r="E118" s="46" t="s">
        <v>38</v>
      </c>
      <c r="F118" s="46">
        <v>8</v>
      </c>
      <c r="G118" s="60" t="s">
        <v>20</v>
      </c>
      <c r="H118" s="46" t="s">
        <v>38</v>
      </c>
      <c r="I118" s="23">
        <v>0</v>
      </c>
      <c r="J118" s="46" t="s">
        <v>38</v>
      </c>
    </row>
    <row r="119" spans="2:15" x14ac:dyDescent="0.2">
      <c r="B119" s="57" t="s">
        <v>46</v>
      </c>
      <c r="C119" s="53" t="s">
        <v>19</v>
      </c>
      <c r="D119" s="54" t="s">
        <v>38</v>
      </c>
      <c r="E119" s="46">
        <v>3</v>
      </c>
      <c r="F119" s="46">
        <f>2.5+3</f>
        <v>5.5</v>
      </c>
      <c r="G119" s="60">
        <v>3</v>
      </c>
      <c r="H119" s="46">
        <v>3</v>
      </c>
      <c r="I119" s="23">
        <v>3</v>
      </c>
      <c r="J119" s="46">
        <v>3</v>
      </c>
    </row>
    <row r="120" spans="2:15" x14ac:dyDescent="0.2">
      <c r="B120" s="26" t="s">
        <v>29</v>
      </c>
      <c r="C120" s="53"/>
      <c r="D120" s="54"/>
      <c r="E120" s="55"/>
      <c r="F120" s="55"/>
      <c r="G120" s="55"/>
      <c r="H120" s="55"/>
      <c r="I120" s="55"/>
      <c r="J120" s="55"/>
      <c r="K120" s="1"/>
      <c r="L120" s="56"/>
      <c r="M120" s="1"/>
      <c r="N120" s="1"/>
      <c r="O120" s="1"/>
    </row>
    <row r="121" spans="2:15" x14ac:dyDescent="0.2">
      <c r="B121" s="58" t="s">
        <v>45</v>
      </c>
      <c r="C121" s="12" t="s">
        <v>19</v>
      </c>
      <c r="D121" s="54" t="s">
        <v>38</v>
      </c>
      <c r="E121" s="60" t="s">
        <v>38</v>
      </c>
      <c r="F121" s="60" t="s">
        <v>38</v>
      </c>
      <c r="G121" s="60" t="s">
        <v>20</v>
      </c>
      <c r="H121" s="60" t="s">
        <v>38</v>
      </c>
      <c r="I121" s="60" t="s">
        <v>38</v>
      </c>
      <c r="J121" s="60" t="s">
        <v>38</v>
      </c>
      <c r="K121" s="1"/>
      <c r="L121" s="56"/>
      <c r="M121" s="1"/>
      <c r="N121" s="1"/>
      <c r="O121" s="1"/>
    </row>
    <row r="122" spans="2:15" x14ac:dyDescent="0.2">
      <c r="B122" s="59" t="s">
        <v>46</v>
      </c>
      <c r="C122" s="14" t="s">
        <v>19</v>
      </c>
      <c r="D122" s="47" t="s">
        <v>38</v>
      </c>
      <c r="E122" s="61" t="s">
        <v>38</v>
      </c>
      <c r="F122" s="61" t="s">
        <v>38</v>
      </c>
      <c r="G122" s="61" t="s">
        <v>20</v>
      </c>
      <c r="H122" s="61" t="s">
        <v>38</v>
      </c>
      <c r="I122" s="61" t="s">
        <v>38</v>
      </c>
      <c r="J122" s="61" t="s">
        <v>38</v>
      </c>
      <c r="K122" s="13"/>
      <c r="L122" s="25"/>
      <c r="M122" s="13"/>
      <c r="N122" s="13"/>
      <c r="O122" s="13"/>
    </row>
    <row r="123" spans="2:15" x14ac:dyDescent="0.2">
      <c r="B123" s="57"/>
      <c r="C123" s="53"/>
      <c r="D123" s="54"/>
      <c r="E123" s="60"/>
      <c r="F123" s="60"/>
      <c r="G123" s="60"/>
      <c r="H123" s="55"/>
      <c r="I123" s="55"/>
      <c r="J123" s="60"/>
      <c r="K123" s="1"/>
      <c r="L123" s="56"/>
      <c r="M123" s="1"/>
      <c r="N123" s="1"/>
      <c r="O123" s="1"/>
    </row>
    <row r="124" spans="2:15" x14ac:dyDescent="0.2">
      <c r="B124" s="17" t="s">
        <v>30</v>
      </c>
      <c r="C124" s="18" t="s">
        <v>28</v>
      </c>
      <c r="D124" s="19">
        <v>1</v>
      </c>
      <c r="E124" s="20">
        <v>2</v>
      </c>
      <c r="F124" s="20">
        <v>3</v>
      </c>
      <c r="G124" s="20">
        <v>4</v>
      </c>
      <c r="H124" s="20">
        <v>5</v>
      </c>
      <c r="I124" s="20">
        <v>6</v>
      </c>
      <c r="J124" s="20">
        <v>7</v>
      </c>
      <c r="K124" s="20"/>
      <c r="L124" s="51"/>
      <c r="M124" s="20"/>
      <c r="N124" s="20"/>
      <c r="O124" s="20"/>
    </row>
    <row r="125" spans="2:15" x14ac:dyDescent="0.2">
      <c r="B125" s="32" t="s">
        <v>14</v>
      </c>
      <c r="C125" s="12" t="s">
        <v>27</v>
      </c>
      <c r="D125" s="46" t="s">
        <v>38</v>
      </c>
      <c r="E125" s="46">
        <v>3603</v>
      </c>
      <c r="F125" s="46">
        <v>2372</v>
      </c>
      <c r="G125" s="46">
        <v>4646</v>
      </c>
      <c r="H125" s="46">
        <v>3849</v>
      </c>
      <c r="I125" s="45">
        <v>13518</v>
      </c>
      <c r="J125" s="99">
        <v>11124.5</v>
      </c>
      <c r="L125" s="22"/>
    </row>
    <row r="126" spans="2:15" x14ac:dyDescent="0.2">
      <c r="B126" s="32" t="s">
        <v>86</v>
      </c>
      <c r="C126" s="12" t="s">
        <v>85</v>
      </c>
      <c r="D126" s="105" t="s">
        <v>38</v>
      </c>
      <c r="E126" s="105">
        <f>2695*2.5*6/12</f>
        <v>3368.75</v>
      </c>
      <c r="F126" s="105">
        <f t="shared" ref="F126:J126" si="0">2695*2.5*6/12</f>
        <v>3368.75</v>
      </c>
      <c r="G126" s="105">
        <f t="shared" si="0"/>
        <v>3368.75</v>
      </c>
      <c r="H126" s="105">
        <f t="shared" si="0"/>
        <v>3368.75</v>
      </c>
      <c r="I126" s="105">
        <f t="shared" si="0"/>
        <v>3368.75</v>
      </c>
      <c r="J126" s="105">
        <f t="shared" si="0"/>
        <v>3368.75</v>
      </c>
      <c r="K126" s="1"/>
      <c r="L126" s="22"/>
    </row>
    <row r="127" spans="2:15" x14ac:dyDescent="0.2">
      <c r="B127" s="62" t="s">
        <v>54</v>
      </c>
      <c r="C127" s="14" t="s">
        <v>27</v>
      </c>
      <c r="D127" s="61" t="s">
        <v>38</v>
      </c>
      <c r="E127" s="61" t="s">
        <v>38</v>
      </c>
      <c r="F127" s="61" t="s">
        <v>38</v>
      </c>
      <c r="G127" s="61" t="s">
        <v>38</v>
      </c>
      <c r="H127" s="61" t="s">
        <v>38</v>
      </c>
      <c r="I127" s="24">
        <v>2400</v>
      </c>
      <c r="J127" s="61" t="s">
        <v>38</v>
      </c>
      <c r="K127" s="13"/>
      <c r="L127" s="25"/>
      <c r="M127" s="13"/>
      <c r="N127" s="13"/>
      <c r="O127" s="13"/>
    </row>
    <row r="128" spans="2:15" x14ac:dyDescent="0.2"/>
    <row r="129" spans="4:11" x14ac:dyDescent="0.2">
      <c r="D129" s="12" t="s">
        <v>87</v>
      </c>
    </row>
    <row r="130" spans="4:11" x14ac:dyDescent="0.2">
      <c r="D130" s="186" t="s">
        <v>88</v>
      </c>
      <c r="E130" s="186"/>
      <c r="F130" s="186"/>
      <c r="G130" s="186"/>
      <c r="H130" s="186"/>
      <c r="I130" s="186"/>
      <c r="J130" s="186"/>
      <c r="K130" s="186"/>
    </row>
    <row r="131" spans="4:11" x14ac:dyDescent="0.2">
      <c r="D131" s="186"/>
      <c r="E131" s="186"/>
      <c r="F131" s="186"/>
      <c r="G131" s="186"/>
      <c r="H131" s="186"/>
      <c r="I131" s="186"/>
      <c r="J131" s="186"/>
      <c r="K131" s="186"/>
    </row>
    <row r="132" spans="4:11" ht="10.5" customHeight="1" x14ac:dyDescent="0.2"/>
  </sheetData>
  <mergeCells count="3">
    <mergeCell ref="L43:O47"/>
    <mergeCell ref="L79:O83"/>
    <mergeCell ref="D130:K13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1"/>
  <sheetViews>
    <sheetView showGridLines="0" zoomScale="85" zoomScaleNormal="85" workbookViewId="0">
      <selection activeCell="P18" sqref="P18"/>
    </sheetView>
  </sheetViews>
  <sheetFormatPr defaultColWidth="0" defaultRowHeight="11.4" zeroHeight="1" x14ac:dyDescent="0.2"/>
  <cols>
    <col min="1" max="1" width="2.19921875" style="1" customWidth="1"/>
    <col min="2" max="2" width="24.09765625" style="4" customWidth="1"/>
    <col min="3" max="3" width="6.69921875" style="4" customWidth="1"/>
    <col min="4" max="4" width="14.09765625" style="4" customWidth="1"/>
    <col min="5" max="5" width="10.8984375" style="4" customWidth="1"/>
    <col min="6" max="6" width="10.59765625" style="4" customWidth="1"/>
    <col min="7" max="7" width="13.19921875" style="4" customWidth="1"/>
    <col min="8" max="8" width="14" style="4" customWidth="1"/>
    <col min="9" max="9" width="10.3984375" style="4" bestFit="1" customWidth="1"/>
    <col min="10" max="11" width="9.8984375" style="4" customWidth="1"/>
    <col min="12" max="12" width="10" style="4" bestFit="1" customWidth="1"/>
    <col min="13" max="13" width="11.09765625" style="4" bestFit="1" customWidth="1"/>
    <col min="14" max="14" width="9.69921875" style="4" bestFit="1" customWidth="1"/>
    <col min="15" max="15" width="10.19921875" style="4" bestFit="1" customWidth="1"/>
    <col min="16" max="16" width="9.69921875" style="4" bestFit="1" customWidth="1"/>
    <col min="17" max="17" width="10.19921875" style="4" bestFit="1" customWidth="1"/>
    <col min="18" max="18" width="9.69921875" style="4" bestFit="1" customWidth="1"/>
    <col min="19" max="19" width="10.19921875" style="4" bestFit="1" customWidth="1"/>
    <col min="20" max="26" width="9.69921875" style="4" customWidth="1"/>
    <col min="27" max="27" width="5" style="4" customWidth="1"/>
    <col min="28" max="28" width="0" style="4" hidden="1" customWidth="1"/>
    <col min="29" max="16384" width="9.69921875" style="4" hidden="1"/>
  </cols>
  <sheetData>
    <row r="1" spans="1:28" ht="19.5" customHeight="1" x14ac:dyDescent="0.3">
      <c r="B1" s="2" t="s">
        <v>24</v>
      </c>
      <c r="C1" s="3"/>
      <c r="D1" s="3"/>
      <c r="E1" s="3"/>
      <c r="F1" s="3"/>
      <c r="G1" s="3"/>
      <c r="H1" s="3"/>
      <c r="I1" s="3"/>
      <c r="J1" s="3"/>
      <c r="K1" s="3"/>
      <c r="L1" s="3"/>
      <c r="M1" s="3"/>
      <c r="N1" s="3"/>
      <c r="O1" s="3"/>
      <c r="P1" s="3"/>
      <c r="Q1" s="3"/>
      <c r="R1" s="3"/>
      <c r="S1" s="3"/>
      <c r="T1" s="3"/>
      <c r="U1" s="3"/>
      <c r="V1" s="3"/>
      <c r="W1" s="3"/>
      <c r="X1" s="3"/>
      <c r="Y1" s="3"/>
      <c r="Z1" s="3"/>
    </row>
    <row r="2" spans="1:28" ht="23.25" customHeight="1" x14ac:dyDescent="0.2">
      <c r="B2" s="5" t="s">
        <v>110</v>
      </c>
      <c r="C2" s="3"/>
      <c r="D2" s="3"/>
      <c r="E2" s="3"/>
      <c r="F2" s="3"/>
      <c r="G2" s="3"/>
      <c r="H2" s="3"/>
      <c r="I2" s="3"/>
      <c r="J2" s="3"/>
      <c r="K2" s="3"/>
      <c r="L2" s="3"/>
      <c r="M2" s="3"/>
      <c r="N2" s="6"/>
      <c r="O2" s="6"/>
      <c r="P2" s="6"/>
      <c r="Q2" s="6"/>
      <c r="R2" s="6"/>
      <c r="S2" s="6"/>
      <c r="T2" s="6"/>
      <c r="U2" s="6"/>
      <c r="V2" s="6"/>
      <c r="W2" s="6"/>
      <c r="X2" s="6"/>
      <c r="Y2" s="6"/>
      <c r="Z2" s="6"/>
      <c r="AA2" s="103"/>
    </row>
    <row r="3" spans="1:28" x14ac:dyDescent="0.2"/>
    <row r="4" spans="1:28" s="27" customFormat="1" x14ac:dyDescent="0.2">
      <c r="A4" s="26"/>
      <c r="B4" s="28"/>
      <c r="C4" s="106"/>
      <c r="D4" s="106"/>
      <c r="E4" s="106"/>
      <c r="F4" s="106"/>
      <c r="G4" s="106"/>
      <c r="H4" s="106"/>
      <c r="I4" s="165"/>
      <c r="J4" s="187">
        <v>2018</v>
      </c>
      <c r="K4" s="187"/>
      <c r="L4" s="187"/>
      <c r="M4" s="187"/>
      <c r="N4" s="187"/>
      <c r="O4" s="187"/>
      <c r="P4" s="187"/>
      <c r="Q4" s="187">
        <v>2019</v>
      </c>
      <c r="R4" s="187"/>
      <c r="S4" s="187"/>
      <c r="T4" s="187"/>
      <c r="U4" s="187"/>
      <c r="V4" s="187"/>
      <c r="W4" s="187"/>
      <c r="X4" s="187"/>
      <c r="Y4" s="187"/>
    </row>
    <row r="5" spans="1:28" x14ac:dyDescent="0.2">
      <c r="B5" s="28" t="s">
        <v>124</v>
      </c>
      <c r="C5" s="29" t="s">
        <v>15</v>
      </c>
      <c r="D5" s="113"/>
      <c r="E5" s="113"/>
      <c r="F5" s="113"/>
      <c r="G5" s="113"/>
      <c r="H5" s="114"/>
      <c r="I5" s="166" t="s">
        <v>83</v>
      </c>
      <c r="J5" s="112" t="s">
        <v>4</v>
      </c>
      <c r="K5" s="112" t="s">
        <v>5</v>
      </c>
      <c r="L5" s="112" t="s">
        <v>6</v>
      </c>
      <c r="M5" s="112" t="s">
        <v>7</v>
      </c>
      <c r="N5" s="112" t="s">
        <v>8</v>
      </c>
      <c r="O5" s="112" t="s">
        <v>9</v>
      </c>
      <c r="P5" s="112" t="s">
        <v>10</v>
      </c>
      <c r="Q5" s="112" t="s">
        <v>11</v>
      </c>
      <c r="R5" s="112" t="s">
        <v>12</v>
      </c>
      <c r="S5" s="112" t="s">
        <v>1</v>
      </c>
      <c r="T5" s="112" t="s">
        <v>2</v>
      </c>
      <c r="U5" s="112" t="s">
        <v>3</v>
      </c>
      <c r="V5" s="112" t="s">
        <v>4</v>
      </c>
      <c r="W5" s="112" t="s">
        <v>5</v>
      </c>
      <c r="X5" s="112" t="s">
        <v>6</v>
      </c>
      <c r="Y5" s="112" t="s">
        <v>7</v>
      </c>
      <c r="AB5" s="15"/>
    </row>
    <row r="6" spans="1:28" x14ac:dyDescent="0.2">
      <c r="B6" s="37" t="s">
        <v>74</v>
      </c>
      <c r="C6" s="1" t="s">
        <v>21</v>
      </c>
      <c r="D6" s="155"/>
      <c r="E6" s="155"/>
      <c r="F6" s="155"/>
      <c r="G6" s="155"/>
      <c r="H6" s="156"/>
      <c r="I6" s="167" t="e">
        <f>'Genrelle antagelser'!$D$15*SUM(Input!D9)+'Genrelle antagelser'!$D$19*SUM(Input!D9)+'Genrelle antagelser'!$D$23*SUM(Input!D9)+'Genrelle antagelser'!$D$27*SUM(Input!D9)+(Input!D8*Indsatsen!#REF!)</f>
        <v>#REF!</v>
      </c>
      <c r="J6" s="157"/>
      <c r="K6" s="157"/>
      <c r="L6" s="157"/>
      <c r="M6" s="157"/>
      <c r="N6" s="157"/>
      <c r="O6" s="157"/>
      <c r="P6" s="157"/>
      <c r="Q6" s="157"/>
      <c r="R6" s="157"/>
      <c r="S6" s="157"/>
      <c r="T6" s="157"/>
      <c r="U6" s="157"/>
      <c r="V6" s="157"/>
      <c r="W6" s="157"/>
      <c r="X6" s="157"/>
      <c r="Y6" s="157"/>
      <c r="AB6" s="15"/>
    </row>
    <row r="7" spans="1:28" x14ac:dyDescent="0.2">
      <c r="B7" s="161" t="s">
        <v>79</v>
      </c>
      <c r="C7" s="13" t="s">
        <v>21</v>
      </c>
      <c r="D7" s="162"/>
      <c r="E7" s="162"/>
      <c r="F7" s="162"/>
      <c r="G7" s="162"/>
      <c r="H7" s="163"/>
      <c r="I7" s="168">
        <f>2*('Genrelle antagelser'!$D$15*SUM(Input!D12))+'Genrelle antagelser'!$D$27*SUM(Input!D12)+'Genrelle antagelser'!$D$23*SUM(Input!D12)+Input!D11*4</f>
        <v>417199.3437863728</v>
      </c>
      <c r="J7" s="164"/>
      <c r="K7" s="164"/>
      <c r="L7" s="164"/>
      <c r="M7" s="164"/>
      <c r="N7" s="164"/>
      <c r="O7" s="164"/>
      <c r="P7" s="164"/>
      <c r="Q7" s="164"/>
      <c r="R7" s="164"/>
      <c r="S7" s="164"/>
      <c r="T7" s="164"/>
      <c r="U7" s="164"/>
      <c r="V7" s="164"/>
      <c r="W7" s="164"/>
      <c r="X7" s="164"/>
      <c r="Y7" s="164"/>
      <c r="AB7" s="15"/>
    </row>
    <row r="8" spans="1:28" ht="12" thickBot="1" x14ac:dyDescent="0.25">
      <c r="B8" s="158" t="s">
        <v>125</v>
      </c>
      <c r="C8" s="158" t="s">
        <v>21</v>
      </c>
      <c r="D8" s="159"/>
      <c r="E8" s="159"/>
      <c r="F8" s="159"/>
      <c r="G8" s="159"/>
      <c r="H8" s="159"/>
      <c r="I8" s="159" t="e">
        <f>SUM(I6:I7)</f>
        <v>#REF!</v>
      </c>
      <c r="J8" s="160"/>
      <c r="K8" s="160"/>
      <c r="L8" s="160"/>
      <c r="M8" s="160"/>
      <c r="N8" s="160"/>
      <c r="O8" s="160"/>
      <c r="P8" s="160"/>
      <c r="Q8" s="160"/>
      <c r="R8" s="160"/>
      <c r="S8" s="160"/>
      <c r="T8" s="160"/>
      <c r="U8" s="160"/>
      <c r="V8" s="160"/>
      <c r="W8" s="160"/>
      <c r="X8" s="160"/>
      <c r="Y8" s="160"/>
    </row>
    <row r="9" spans="1:28" ht="22.5" customHeight="1" x14ac:dyDescent="0.2">
      <c r="B9" s="28" t="s">
        <v>22</v>
      </c>
      <c r="C9" s="29"/>
      <c r="D9" s="113" t="s">
        <v>37</v>
      </c>
      <c r="E9" s="113" t="s">
        <v>36</v>
      </c>
      <c r="F9" s="113" t="s">
        <v>95</v>
      </c>
      <c r="G9" s="113" t="s">
        <v>93</v>
      </c>
      <c r="H9" s="114" t="s">
        <v>94</v>
      </c>
      <c r="I9" s="63"/>
      <c r="J9" s="63"/>
      <c r="K9" s="63"/>
      <c r="L9" s="63"/>
      <c r="M9" s="63"/>
      <c r="N9" s="63"/>
      <c r="O9" s="63"/>
      <c r="P9" s="63"/>
      <c r="Q9" s="63"/>
      <c r="R9" s="63"/>
      <c r="S9" s="63"/>
      <c r="T9" s="63"/>
      <c r="U9" s="63"/>
      <c r="V9" s="63"/>
      <c r="W9" s="63"/>
      <c r="X9" s="63"/>
      <c r="Y9" s="63"/>
    </row>
    <row r="10" spans="1:28" x14ac:dyDescent="0.2">
      <c r="B10" s="32" t="s">
        <v>72</v>
      </c>
      <c r="C10" s="4" t="s">
        <v>21</v>
      </c>
      <c r="D10" s="109">
        <f>AVERAGE(J10:Y10)</f>
        <v>78502.70197544781</v>
      </c>
      <c r="E10" s="109">
        <f>D10*12</f>
        <v>942032.42370537366</v>
      </c>
      <c r="F10" s="109">
        <f>E10/Indsatsen!$D$17</f>
        <v>130837.83662574633</v>
      </c>
      <c r="G10" s="109">
        <f>F10/Indsatsen!$C$21</f>
        <v>16822.007566167387</v>
      </c>
      <c r="H10" s="115">
        <f>E10/$E$14</f>
        <v>0.53053833834157227</v>
      </c>
      <c r="I10" s="71"/>
      <c r="J10" s="71">
        <f>('Genrelle antagelser'!$D$15*SUM(Input!E19,Input!E37,Input!E55,Input!E73,Input!E91,Input!E109)+'Genrelle antagelser'!$D$19*SUM(Input!E22,Input!E40,Input!E58,Input!E76,Input!E94,Input!E112)+'Genrelle antagelser'!$D$23*SUM(Input!E25,Input!E43,Input!E61,Input!E79,Input!E97,Input!E115)+'Genrelle antagelser'!$D$27*SUM(Input!E28,Input!E46,Input!E64,Input!E82,Input!E100,Input!E118)+'Genrelle antagelser'!$D$31*SUM(Input!E31,Input!E49,Input!E67,Input!E85,Input!E103,Input!E121))</f>
        <v>44246.138331825088</v>
      </c>
      <c r="K10" s="71">
        <f>J10</f>
        <v>44246.138331825088</v>
      </c>
      <c r="L10" s="71">
        <f>K10</f>
        <v>44246.138331825088</v>
      </c>
      <c r="M10" s="71">
        <f>('Genrelle antagelser'!$D$15*SUM(Input!F19,Input!F37,Input!F55,Input!F73,Input!F91,Input!F109)+'Genrelle antagelser'!$D$19*SUM(Input!F22,Input!F40,Input!F58,Input!F76,Input!F94,Input!F112)+'Genrelle antagelser'!$D$23*SUM(Input!F25,Input!F43,Input!F61,Input!F79,Input!F97,Input!F115)+'Genrelle antagelser'!$D$27*SUM(Input!F28,Input!F46,Input!F64,Input!F82,Input!F100,Input!F118)+'Genrelle antagelser'!$D$31*SUM(Input!F31,Input!F49,Input!F67,Input!F85,Input!F103,Input!F121))</f>
        <v>63713.86953112331</v>
      </c>
      <c r="N10" s="71">
        <f>M10</f>
        <v>63713.86953112331</v>
      </c>
      <c r="O10" s="71">
        <f>('Genrelle antagelser'!$D$15*SUM(Input!G19,Input!G37,Input!G55,Input!G73,Input!G91,Input!G109)+'Genrelle antagelser'!$D$19*SUM(Input!G22,Input!G40,Input!G58,Input!G76,Input!G94,Input!G112)+'Genrelle antagelser'!$D$23*SUM(Input!G25,Input!G43,Input!G61,Input!G79,Input!G97,Input!G115)+'Genrelle antagelser'!$D$27*SUM(Input!G28,Input!G46,Input!G64,Input!G82,Input!G100,Input!G118)+'Genrelle antagelser'!$D$31*SUM(Input!G31,Input!G49,Input!G67,Input!G85,Input!G103,Input!G121))</f>
        <v>119993.42139075002</v>
      </c>
      <c r="P10" s="71">
        <f>O10</f>
        <v>119993.42139075002</v>
      </c>
      <c r="Q10" s="71">
        <f>('Genrelle antagelser'!$D$15*SUM(Input!H19,Input!H37,Input!H55,Input!H73,Input!H91,Input!H109)+'Genrelle antagelser'!$D$19*SUM(Input!H22,Input!H40,Input!H58,Input!H76,Input!H94,Input!H112)+'Genrelle antagelser'!$D$23*SUM(Input!H25,Input!H43,Input!H61,Input!H79,Input!H97,Input!H115)+'Genrelle antagelser'!$D$27*SUM(Input!H28,Input!H46,Input!H64,Input!H82,Input!H100,Input!H118)+'Genrelle antagelser'!$D$31*SUM(Input!H31,Input!H49,Input!H67,Input!H85,Input!H103,Input!H121))</f>
        <v>65911.093629150171</v>
      </c>
      <c r="R10" s="71">
        <f>Q10</f>
        <v>65911.093629150171</v>
      </c>
      <c r="S10" s="71">
        <f>Q10</f>
        <v>65911.093629150171</v>
      </c>
      <c r="T10" s="71">
        <f>('Genrelle antagelser'!$D$15*SUM(Input!I19,Input!I37,Input!I55,Input!I73,Input!I91,Input!I109)+'Genrelle antagelser'!$D$19*SUM(Input!I22,Input!I40,Input!I58,Input!I76,Input!I94,Input!I112)+'Genrelle antagelser'!$D$23*SUM(Input!I25,Input!I43,Input!I61,Input!I79,Input!I97,Input!I115)+'Genrelle antagelser'!$D$27*SUM(Input!I28,Input!I46,Input!I64,Input!I82,Input!I100,Input!I118)+'Genrelle antagelser'!$D$31*SUM(Input!I31,Input!I49,Input!I67,Input!I85,Input!I103,Input!I121))</f>
        <v>109382.95537117531</v>
      </c>
      <c r="U10" s="71">
        <f>T10</f>
        <v>109382.95537117531</v>
      </c>
      <c r="V10" s="71">
        <f>T10</f>
        <v>109382.95537117531</v>
      </c>
      <c r="W10" s="71">
        <f>('Genrelle antagelser'!$D$15*SUM(Input!J19,Input!J37,Input!J55,Input!J73,Input!J91,Input!J109)+'Genrelle antagelser'!$D$19*SUM(Input!J22,Input!J40,Input!J58,Input!J76,Input!J94,Input!J112)+'Genrelle antagelser'!$D$23*SUM(Input!J25,Input!J43,Input!J61,Input!J79,Input!J97,Input!J115)+'Genrelle antagelser'!$D$27*SUM(Input!J28,Input!J46,Input!J64,Input!J82,Input!J100,Input!J118)+'Genrelle antagelser'!$D$31*SUM(Input!J31,Input!J49,Input!J67,Input!J85,Input!J103,Input!J121))</f>
        <v>76669.362588988792</v>
      </c>
      <c r="X10" s="71">
        <f>W10</f>
        <v>76669.362588988792</v>
      </c>
      <c r="Y10" s="71">
        <f>W10</f>
        <v>76669.362588988792</v>
      </c>
      <c r="Z10" s="98"/>
      <c r="AB10" s="15"/>
    </row>
    <row r="11" spans="1:28" x14ac:dyDescent="0.2">
      <c r="B11" s="32" t="s">
        <v>73</v>
      </c>
      <c r="C11" s="4" t="s">
        <v>21</v>
      </c>
      <c r="D11" s="109">
        <f>AVERAGE(J11:Y11)</f>
        <v>59035.838939682239</v>
      </c>
      <c r="E11" s="109">
        <f>D11*12</f>
        <v>708430.06727618689</v>
      </c>
      <c r="F11" s="109">
        <f>E11/Indsatsen!$D$17</f>
        <v>98393.064899470395</v>
      </c>
      <c r="G11" s="109">
        <f>F11/Indsatsen!$C$21</f>
        <v>12650.536915646193</v>
      </c>
      <c r="H11" s="115">
        <f>E11/$E$14</f>
        <v>0.39897704289790514</v>
      </c>
      <c r="I11" s="71"/>
      <c r="J11" s="71">
        <f>('Genrelle antagelser'!$D$15*SUM(Input!E20,Input!E38,Input!E56,Input!E74,Input!E92,Input!E110)+'Genrelle antagelser'!$D$19*SUM(Input!E23,Input!E41,Input!E59,Input!E77,Input!E95,Input!E113)+'Genrelle antagelser'!$D$23*SUM(Input!E26,Input!E44,Input!E62,Input!E80,Input!E98,Input!E116)+'Genrelle antagelser'!$D$27*SUM(Input!E29,Input!E47,Input!E65,Input!E83,Input!E101,Input!E119)+'Genrelle antagelser'!$D$31*SUM(Input!E32,Input!E50,Input!E68,Input!E86,Input!E104,Input!E122))</f>
        <v>23184.369601820104</v>
      </c>
      <c r="K11" s="71">
        <f t="shared" ref="K11:K12" si="0">J11</f>
        <v>23184.369601820104</v>
      </c>
      <c r="L11" s="71">
        <f t="shared" ref="L11:L12" si="1">K11</f>
        <v>23184.369601820104</v>
      </c>
      <c r="M11" s="71">
        <f>('Genrelle antagelser'!$D$15*SUM(Input!F20,Input!F38,Input!F56,Input!F74,Input!F92,Input!F110)+'Genrelle antagelser'!$D$19*SUM(Input!F23,Input!F41,Input!F59,Input!F77,Input!F95,Input!F113)+'Genrelle antagelser'!$D$23*SUM(Input!F26,Input!F44,Input!F62,Input!F80,Input!F98,Input!F116)+'Genrelle antagelser'!$D$27*SUM(Input!F29,Input!F47,Input!F65,Input!F83,Input!F101,Input!F119)+'Genrelle antagelser'!$D$31*SUM(Input!F32,Input!F50,Input!F68,Input!F86,Input!F104,Input!F122))</f>
        <v>28833.67821801356</v>
      </c>
      <c r="N11" s="71">
        <f t="shared" ref="N11:N12" si="2">M11</f>
        <v>28833.67821801356</v>
      </c>
      <c r="O11" s="71">
        <f>('Genrelle antagelser'!$D$15*SUM(Input!G20,Input!G38,Input!G56,Input!G74,Input!G92,Input!G110)+'Genrelle antagelser'!$D$19*SUM(Input!G23,Input!G41,Input!G59,Input!G77,Input!G95,Input!G113)+'Genrelle antagelser'!$D$23*SUM(Input!G26,Input!G44,Input!G62,Input!G80,Input!G98,Input!G116)+'Genrelle antagelser'!$D$27*SUM(Input!G29,Input!G47,Input!G65,Input!G83,Input!G101,Input!G119)+'Genrelle antagelser'!$D$31*SUM(Input!G32,Input!G50,Input!G68,Input!G86,Input!G104,Input!G122))</f>
        <v>81231.431563594</v>
      </c>
      <c r="P11" s="71">
        <f t="shared" ref="P11:P12" si="3">O11</f>
        <v>81231.431563594</v>
      </c>
      <c r="Q11" s="71">
        <f>('Genrelle antagelser'!$D$15*SUM(Input!H20,Input!H38,Input!H56,Input!H74,Input!H92,Input!H110)+'Genrelle antagelser'!$D$19*SUM(Input!H23,Input!H41,Input!H59,Input!H77,Input!H95,Input!H113)+'Genrelle antagelser'!$D$23*SUM(Input!H26,Input!H44,Input!H62,Input!H80,Input!H98,Input!H116)+'Genrelle antagelser'!$D$27*SUM(Input!H29,Input!H47,Input!H65,Input!H83,Input!H101,Input!H119)+'Genrelle antagelser'!$D$31*SUM(Input!H32,Input!H50,Input!H68,Input!H86,Input!H104,Input!H122))</f>
        <v>60398.52498936237</v>
      </c>
      <c r="R11" s="71">
        <f t="shared" ref="R11:R12" si="4">Q11</f>
        <v>60398.52498936237</v>
      </c>
      <c r="S11" s="71">
        <f t="shared" ref="S11:S12" si="5">Q11</f>
        <v>60398.52498936237</v>
      </c>
      <c r="T11" s="71">
        <f>('Genrelle antagelser'!$D$15*SUM(Input!I20,Input!I38,Input!I56,Input!I74,Input!I92,Input!I110)+'Genrelle antagelser'!$D$19*SUM(Input!I23,Input!I41,Input!I59,Input!I77,Input!I95,Input!I113)+'Genrelle antagelser'!$D$23*SUM(Input!I26,Input!I44,Input!I62,Input!I80,Input!I98,Input!I116)+'Genrelle antagelser'!$D$27*SUM(Input!I29,Input!I47,Input!I65,Input!I83,Input!I101,Input!I119)+'Genrelle antagelser'!$D$31*SUM(Input!I32,Input!I50,Input!I68,Input!I86,Input!I104,Input!I122))</f>
        <v>116254.40930719575</v>
      </c>
      <c r="U11" s="71">
        <f t="shared" ref="U11:U12" si="6">T11</f>
        <v>116254.40930719575</v>
      </c>
      <c r="V11" s="71">
        <f t="shared" ref="V11:V12" si="7">T11</f>
        <v>116254.40930719575</v>
      </c>
      <c r="W11" s="71">
        <f>('Genrelle antagelser'!$D$15*SUM(Input!J20,Input!J38,Input!J56,Input!J74,Input!J92,Input!J110)+'Genrelle antagelser'!$D$19*SUM(Input!J23,Input!J41,Input!J59,Input!J77,Input!J95,Input!J113)+'Genrelle antagelser'!$D$23*SUM(Input!J26,Input!J44,Input!J62,Input!J80,Input!J98,Input!J116)+'Genrelle antagelser'!$D$27*SUM(Input!J29,Input!J47,Input!J65,Input!J83,Input!J101,Input!J119)+'Genrelle antagelser'!$D$31*SUM(Input!J32,Input!J50,Input!J68,Input!J86,Input!J104,Input!J122))</f>
        <v>41643.763925521955</v>
      </c>
      <c r="X11" s="71">
        <f t="shared" ref="X11:X12" si="8">W11</f>
        <v>41643.763925521955</v>
      </c>
      <c r="Y11" s="71">
        <f t="shared" ref="Y11:Y12" si="9">W11</f>
        <v>41643.763925521955</v>
      </c>
      <c r="Z11" s="98"/>
    </row>
    <row r="12" spans="1:28" x14ac:dyDescent="0.2">
      <c r="B12" s="32" t="s">
        <v>13</v>
      </c>
      <c r="C12" s="4" t="s">
        <v>21</v>
      </c>
      <c r="D12" s="109">
        <f>AVERAGE(J12:Y12)</f>
        <v>10429.46875</v>
      </c>
      <c r="E12" s="109">
        <f>D12*12</f>
        <v>125153.625</v>
      </c>
      <c r="F12" s="109">
        <f>E12/Indsatsen!$D$17</f>
        <v>17382.447916666668</v>
      </c>
      <c r="G12" s="109">
        <f>F12/Indsatsen!$C$21</f>
        <v>2234.8861607142858</v>
      </c>
      <c r="H12" s="115">
        <f>E12/$E$14</f>
        <v>7.0484618760522491E-2</v>
      </c>
      <c r="I12" s="71"/>
      <c r="J12" s="71">
        <f>SUM(Input!E125:E127)</f>
        <v>6971.75</v>
      </c>
      <c r="K12" s="71">
        <f t="shared" si="0"/>
        <v>6971.75</v>
      </c>
      <c r="L12" s="71">
        <f t="shared" si="1"/>
        <v>6971.75</v>
      </c>
      <c r="M12" s="71">
        <f>SUM(Input!F125:F127)</f>
        <v>5740.75</v>
      </c>
      <c r="N12" s="71">
        <f t="shared" si="2"/>
        <v>5740.75</v>
      </c>
      <c r="O12" s="71">
        <f>SUM(Input!F125:F127)</f>
        <v>5740.75</v>
      </c>
      <c r="P12" s="71">
        <f t="shared" si="3"/>
        <v>5740.75</v>
      </c>
      <c r="Q12" s="71">
        <f>SUM(Input!H125:H127)</f>
        <v>7217.75</v>
      </c>
      <c r="R12" s="71">
        <f t="shared" si="4"/>
        <v>7217.75</v>
      </c>
      <c r="S12" s="71">
        <f t="shared" si="5"/>
        <v>7217.75</v>
      </c>
      <c r="T12" s="71">
        <f>SUM(Input!I125:I127)</f>
        <v>19286.75</v>
      </c>
      <c r="U12" s="71">
        <f t="shared" si="6"/>
        <v>19286.75</v>
      </c>
      <c r="V12" s="71">
        <f t="shared" si="7"/>
        <v>19286.75</v>
      </c>
      <c r="W12" s="71">
        <f>SUM(Input!J125:J127)</f>
        <v>14493.25</v>
      </c>
      <c r="X12" s="71">
        <f t="shared" si="8"/>
        <v>14493.25</v>
      </c>
      <c r="Y12" s="71">
        <f t="shared" si="9"/>
        <v>14493.25</v>
      </c>
      <c r="Z12" s="98"/>
      <c r="AB12" s="15"/>
    </row>
    <row r="13" spans="1:28" ht="12" thickBot="1" x14ac:dyDescent="0.25">
      <c r="B13" s="30" t="s">
        <v>23</v>
      </c>
      <c r="C13" s="30" t="s">
        <v>21</v>
      </c>
      <c r="D13" s="110">
        <f>SUM(D10:D12)</f>
        <v>147968.00966513006</v>
      </c>
      <c r="E13" s="110">
        <f>SUM(E10:E12)</f>
        <v>1775616.1159815607</v>
      </c>
      <c r="F13" s="110">
        <f>SUM(F10:F12)</f>
        <v>246613.34944188339</v>
      </c>
      <c r="G13" s="118">
        <f>F13/Indsatsen!$C$21</f>
        <v>31707.430642527863</v>
      </c>
      <c r="H13" s="117">
        <f>E13/$E$14</f>
        <v>1</v>
      </c>
      <c r="I13" s="72"/>
      <c r="J13" s="72">
        <f t="shared" ref="J13:Y13" si="10">SUM(J10:J12)</f>
        <v>74402.257933645189</v>
      </c>
      <c r="K13" s="72">
        <f t="shared" si="10"/>
        <v>74402.257933645189</v>
      </c>
      <c r="L13" s="72">
        <f t="shared" si="10"/>
        <v>74402.257933645189</v>
      </c>
      <c r="M13" s="72">
        <f t="shared" si="10"/>
        <v>98288.297749136866</v>
      </c>
      <c r="N13" s="72">
        <f t="shared" si="10"/>
        <v>98288.297749136866</v>
      </c>
      <c r="O13" s="72">
        <f t="shared" si="10"/>
        <v>206965.60295434401</v>
      </c>
      <c r="P13" s="72">
        <f t="shared" si="10"/>
        <v>206965.60295434401</v>
      </c>
      <c r="Q13" s="72">
        <f t="shared" si="10"/>
        <v>133527.36861851253</v>
      </c>
      <c r="R13" s="72">
        <f t="shared" si="10"/>
        <v>133527.36861851253</v>
      </c>
      <c r="S13" s="72">
        <f t="shared" si="10"/>
        <v>133527.36861851253</v>
      </c>
      <c r="T13" s="72">
        <f t="shared" si="10"/>
        <v>244924.11467837106</v>
      </c>
      <c r="U13" s="72">
        <f t="shared" si="10"/>
        <v>244924.11467837106</v>
      </c>
      <c r="V13" s="72">
        <f t="shared" si="10"/>
        <v>244924.11467837106</v>
      </c>
      <c r="W13" s="72">
        <f t="shared" si="10"/>
        <v>132806.37651451075</v>
      </c>
      <c r="X13" s="72">
        <f t="shared" si="10"/>
        <v>132806.37651451075</v>
      </c>
      <c r="Y13" s="72">
        <f t="shared" si="10"/>
        <v>132806.37651451075</v>
      </c>
    </row>
    <row r="14" spans="1:28" ht="12" thickBot="1" x14ac:dyDescent="0.25">
      <c r="B14" s="31" t="s">
        <v>31</v>
      </c>
      <c r="C14" s="31" t="s">
        <v>21</v>
      </c>
      <c r="D14" s="111">
        <f>D8+D13</f>
        <v>147968.00966513006</v>
      </c>
      <c r="E14" s="111">
        <f>E8+E13</f>
        <v>1775616.1159815607</v>
      </c>
      <c r="F14" s="111">
        <f>F8+F13</f>
        <v>246613.34944188339</v>
      </c>
      <c r="G14" s="119">
        <f>F14/Indsatsen!$C$21</f>
        <v>31707.430642527863</v>
      </c>
      <c r="H14" s="116">
        <f t="shared" ref="H14" si="11">E14/$E$14</f>
        <v>1</v>
      </c>
      <c r="I14" s="73" t="e">
        <f t="shared" ref="I14" si="12">I8+I13</f>
        <v>#REF!</v>
      </c>
      <c r="J14" s="73">
        <f>J13</f>
        <v>74402.257933645189</v>
      </c>
      <c r="K14" s="73">
        <f t="shared" ref="K14:Y14" si="13">K13</f>
        <v>74402.257933645189</v>
      </c>
      <c r="L14" s="73">
        <f t="shared" si="13"/>
        <v>74402.257933645189</v>
      </c>
      <c r="M14" s="73">
        <f t="shared" si="13"/>
        <v>98288.297749136866</v>
      </c>
      <c r="N14" s="73">
        <f t="shared" si="13"/>
        <v>98288.297749136866</v>
      </c>
      <c r="O14" s="73">
        <f t="shared" si="13"/>
        <v>206965.60295434401</v>
      </c>
      <c r="P14" s="73">
        <f t="shared" si="13"/>
        <v>206965.60295434401</v>
      </c>
      <c r="Q14" s="73">
        <f t="shared" si="13"/>
        <v>133527.36861851253</v>
      </c>
      <c r="R14" s="73">
        <f t="shared" si="13"/>
        <v>133527.36861851253</v>
      </c>
      <c r="S14" s="73">
        <f t="shared" si="13"/>
        <v>133527.36861851253</v>
      </c>
      <c r="T14" s="73">
        <f t="shared" si="13"/>
        <v>244924.11467837106</v>
      </c>
      <c r="U14" s="73">
        <f t="shared" si="13"/>
        <v>244924.11467837106</v>
      </c>
      <c r="V14" s="73">
        <f t="shared" si="13"/>
        <v>244924.11467837106</v>
      </c>
      <c r="W14" s="73">
        <f t="shared" si="13"/>
        <v>132806.37651451075</v>
      </c>
      <c r="X14" s="73">
        <f t="shared" si="13"/>
        <v>132806.37651451075</v>
      </c>
      <c r="Y14" s="73">
        <f t="shared" si="13"/>
        <v>132806.37651451075</v>
      </c>
    </row>
    <row r="15" spans="1:28" x14ac:dyDescent="0.2"/>
    <row r="16" spans="1:28" s="37" customFormat="1" x14ac:dyDescent="0.2">
      <c r="A16" s="33"/>
      <c r="B16" s="95"/>
      <c r="C16" s="95"/>
      <c r="D16" s="83"/>
      <c r="E16" s="83"/>
      <c r="F16" s="83"/>
      <c r="G16" s="83"/>
      <c r="H16" s="83"/>
      <c r="I16" s="83"/>
      <c r="J16" s="83"/>
      <c r="K16" s="83"/>
      <c r="L16" s="83"/>
      <c r="M16" s="83"/>
      <c r="N16" s="83"/>
      <c r="O16" s="83"/>
      <c r="P16" s="83"/>
      <c r="Q16" s="83"/>
      <c r="R16" s="83"/>
      <c r="S16" s="83"/>
      <c r="T16" s="83"/>
      <c r="U16" s="83"/>
      <c r="V16" s="83"/>
      <c r="W16" s="83"/>
      <c r="X16" s="83"/>
      <c r="Y16" s="83"/>
      <c r="Z16" s="83"/>
      <c r="AA16" s="104"/>
    </row>
    <row r="17" spans="2:26" x14ac:dyDescent="0.2">
      <c r="B17" s="169" t="s">
        <v>129</v>
      </c>
      <c r="I17" s="27"/>
    </row>
    <row r="18" spans="2:26" x14ac:dyDescent="0.2">
      <c r="P18" s="27" t="s">
        <v>123</v>
      </c>
    </row>
    <row r="19" spans="2:26" x14ac:dyDescent="0.2"/>
    <row r="20" spans="2:26" x14ac:dyDescent="0.2"/>
    <row r="21" spans="2:26" x14ac:dyDescent="0.2"/>
    <row r="22" spans="2:26" x14ac:dyDescent="0.2"/>
    <row r="23" spans="2:26" x14ac:dyDescent="0.2"/>
    <row r="24" spans="2:26" x14ac:dyDescent="0.2"/>
    <row r="25" spans="2:26" x14ac:dyDescent="0.2"/>
    <row r="26" spans="2:26" x14ac:dyDescent="0.2"/>
    <row r="27" spans="2:26" x14ac:dyDescent="0.2"/>
    <row r="28" spans="2:26" x14ac:dyDescent="0.2"/>
    <row r="29" spans="2:26" x14ac:dyDescent="0.2"/>
    <row r="30" spans="2:26" x14ac:dyDescent="0.2"/>
    <row r="31" spans="2:26" x14ac:dyDescent="0.2">
      <c r="Z31" s="15"/>
    </row>
    <row r="32" spans="2:26" x14ac:dyDescent="0.2"/>
    <row r="33" spans="1:26" x14ac:dyDescent="0.2"/>
    <row r="34" spans="1:26" x14ac:dyDescent="0.2"/>
    <row r="35" spans="1:26" x14ac:dyDescent="0.2"/>
    <row r="36" spans="1:26" x14ac:dyDescent="0.2"/>
    <row r="37" spans="1:26" x14ac:dyDescent="0.2"/>
    <row r="38" spans="1:26" x14ac:dyDescent="0.2"/>
    <row r="39" spans="1:26" x14ac:dyDescent="0.2"/>
    <row r="40" spans="1:26" x14ac:dyDescent="0.2"/>
    <row r="41" spans="1:26" x14ac:dyDescent="0.2"/>
    <row r="42" spans="1:26" x14ac:dyDescent="0.2"/>
    <row r="43" spans="1:26" x14ac:dyDescent="0.2"/>
    <row r="44" spans="1:26" x14ac:dyDescent="0.2"/>
    <row r="45" spans="1:26" s="27" customFormat="1" x14ac:dyDescent="0.2">
      <c r="A45" s="26"/>
      <c r="B45" s="17" t="s">
        <v>96</v>
      </c>
      <c r="C45" s="18"/>
      <c r="D45" s="18"/>
      <c r="E45" s="18"/>
      <c r="F45" s="18"/>
      <c r="G45" s="18"/>
      <c r="H45" s="18"/>
      <c r="I45" s="17"/>
      <c r="J45" s="17"/>
      <c r="K45" s="17"/>
      <c r="L45" s="17"/>
      <c r="M45" s="17"/>
      <c r="N45" s="17"/>
      <c r="O45" s="17"/>
      <c r="P45" s="17"/>
      <c r="Q45" s="17"/>
      <c r="R45" s="17"/>
      <c r="S45" s="17"/>
      <c r="T45" s="17"/>
      <c r="U45" s="17"/>
      <c r="V45" s="17"/>
      <c r="W45" s="17"/>
      <c r="X45" s="17"/>
      <c r="Y45" s="17"/>
      <c r="Z45" s="17"/>
    </row>
    <row r="46" spans="1:26" x14ac:dyDescent="0.2"/>
    <row r="47" spans="1:26" x14ac:dyDescent="0.2">
      <c r="B47" s="123" t="s">
        <v>97</v>
      </c>
      <c r="C47" s="123" t="s">
        <v>36</v>
      </c>
      <c r="D47" s="123" t="s">
        <v>95</v>
      </c>
      <c r="E47" s="123" t="s">
        <v>93</v>
      </c>
    </row>
    <row r="48" spans="1:26" x14ac:dyDescent="0.2">
      <c r="B48" s="122" t="s">
        <v>98</v>
      </c>
      <c r="C48" s="126">
        <v>1448.9346177852481</v>
      </c>
      <c r="D48" s="126">
        <v>201.24091913684001</v>
      </c>
      <c r="E48" s="126">
        <v>25.87383246045086</v>
      </c>
    </row>
    <row r="49" spans="2:26" x14ac:dyDescent="0.2">
      <c r="B49" s="121" t="s">
        <v>99</v>
      </c>
      <c r="C49" s="126">
        <v>1779.0271159815607</v>
      </c>
      <c r="D49" s="126">
        <v>247.08709944188342</v>
      </c>
      <c r="E49" s="126">
        <v>31.768341356813583</v>
      </c>
    </row>
    <row r="50" spans="2:26" x14ac:dyDescent="0.2">
      <c r="B50" s="122" t="s">
        <v>105</v>
      </c>
      <c r="C50" s="126">
        <v>1944</v>
      </c>
      <c r="D50" s="126">
        <v>270</v>
      </c>
      <c r="E50" s="126">
        <v>35</v>
      </c>
    </row>
    <row r="51" spans="2:26" x14ac:dyDescent="0.2">
      <c r="B51" s="122" t="s">
        <v>100</v>
      </c>
      <c r="C51" s="126">
        <v>2109.1196141778723</v>
      </c>
      <c r="D51" s="126">
        <v>292.93327974692676</v>
      </c>
      <c r="E51" s="126">
        <v>37.662850253176295</v>
      </c>
    </row>
    <row r="52" spans="2:26" x14ac:dyDescent="0.2"/>
    <row r="53" spans="2:26" x14ac:dyDescent="0.2">
      <c r="B53" s="123" t="s">
        <v>101</v>
      </c>
      <c r="C53" s="123" t="s">
        <v>36</v>
      </c>
      <c r="D53" s="123" t="s">
        <v>95</v>
      </c>
      <c r="E53" s="123" t="s">
        <v>93</v>
      </c>
    </row>
    <row r="54" spans="2:26" x14ac:dyDescent="0.2">
      <c r="B54" s="121" t="s">
        <v>102</v>
      </c>
      <c r="C54" s="126">
        <v>1779.0271159815607</v>
      </c>
      <c r="D54" s="126">
        <v>247.08709944188342</v>
      </c>
      <c r="E54" s="126">
        <v>31.768341356813583</v>
      </c>
    </row>
    <row r="55" spans="2:26" x14ac:dyDescent="0.2">
      <c r="B55" s="121" t="s">
        <v>104</v>
      </c>
      <c r="C55" s="126">
        <v>2420.8736402521672</v>
      </c>
      <c r="D55" s="126">
        <v>242.08736402521674</v>
      </c>
      <c r="E55" s="126">
        <v>31.125518231813579</v>
      </c>
    </row>
    <row r="56" spans="2:26" x14ac:dyDescent="0.2">
      <c r="B56" s="121" t="s">
        <v>103</v>
      </c>
      <c r="C56" s="126">
        <v>2879.3354433026007</v>
      </c>
      <c r="D56" s="126">
        <v>239.94462027521669</v>
      </c>
      <c r="E56" s="126">
        <v>30.850022606813578</v>
      </c>
    </row>
    <row r="57" spans="2:26" x14ac:dyDescent="0.2"/>
    <row r="58" spans="2:26" x14ac:dyDescent="0.2">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2:26" x14ac:dyDescent="0.2"/>
    <row r="60" spans="2:26" x14ac:dyDescent="0.2"/>
    <row r="61" spans="2:26" x14ac:dyDescent="0.2"/>
    <row r="62" spans="2:26" x14ac:dyDescent="0.2"/>
    <row r="63" spans="2:26" x14ac:dyDescent="0.2"/>
    <row r="64" spans="2:26"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x14ac:dyDescent="0.2"/>
    <row r="95" x14ac:dyDescent="0.2"/>
    <row r="96" x14ac:dyDescent="0.2"/>
    <row r="97" x14ac:dyDescent="0.2"/>
    <row r="98" x14ac:dyDescent="0.2"/>
    <row r="99" x14ac:dyDescent="0.2"/>
    <row r="100" x14ac:dyDescent="0.2"/>
    <row r="101" x14ac:dyDescent="0.2"/>
  </sheetData>
  <mergeCells count="2">
    <mergeCell ref="Q4:Y4"/>
    <mergeCell ref="J4:P4"/>
  </mergeCells>
  <pageMargins left="0.7" right="0.7" top="0.75" bottom="0.75" header="0.3" footer="0.3"/>
  <pageSetup paperSize="9" orientation="portrait" verticalDpi="0" r:id="rId1"/>
  <ignoredErrors>
    <ignoredError sqref="Q13 O13 M13"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D4F18824118C478D2ECB64745C1BDA" ma:contentTypeVersion="10" ma:contentTypeDescription="Create a new document." ma:contentTypeScope="" ma:versionID="75725cf07aace17e7f5181fe604a0693">
  <xsd:schema xmlns:xsd="http://www.w3.org/2001/XMLSchema" xmlns:xs="http://www.w3.org/2001/XMLSchema" xmlns:p="http://schemas.microsoft.com/office/2006/metadata/properties" xmlns:ns3="f5270a00-8f0f-4e71-9bb0-190a3a440ec1" xmlns:ns4="a4d4f24c-7a12-4eed-bffe-666b258395ef" targetNamespace="http://schemas.microsoft.com/office/2006/metadata/properties" ma:root="true" ma:fieldsID="5227a88712fcfc16d1d6929c59810780" ns3:_="" ns4:_="">
    <xsd:import namespace="f5270a00-8f0f-4e71-9bb0-190a3a440ec1"/>
    <xsd:import namespace="a4d4f24c-7a12-4eed-bffe-666b258395e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270a00-8f0f-4e71-9bb0-190a3a440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d4f24c-7a12-4eed-bffe-666b258395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E5A2B6-4636-4523-B337-38B1FCEBF6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270a00-8f0f-4e71-9bb0-190a3a440ec1"/>
    <ds:schemaRef ds:uri="a4d4f24c-7a12-4eed-bffe-666b25839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5DDC9A-4F55-4546-AE47-DFC9CB590264}">
  <ds:schemaRefs>
    <ds:schemaRef ds:uri="http://schemas.microsoft.com/sharepoint/v3/contenttype/forms"/>
  </ds:schemaRefs>
</ds:datastoreItem>
</file>

<file path=customXml/itemProps3.xml><?xml version="1.0" encoding="utf-8"?>
<ds:datastoreItem xmlns:ds="http://schemas.openxmlformats.org/officeDocument/2006/customXml" ds:itemID="{5E7544C6-1EF2-43EB-9442-94B1DFBEBEEB}">
  <ds:schemaRefs>
    <ds:schemaRef ds:uri="http://schemas.microsoft.com/office/2006/metadata/properties"/>
    <ds:schemaRef ds:uri="f5270a00-8f0f-4e71-9bb0-190a3a440ec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a4d4f24c-7a12-4eed-bffe-666b258395e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Forside</vt:lpstr>
      <vt:lpstr>Indsatsen</vt:lpstr>
      <vt:lpstr>Genrelle antagelser</vt:lpstr>
      <vt:lpstr>Input</vt:lpstr>
      <vt:lpstr>Resultater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Godsk Vestergaard</dc:creator>
  <cp:lastModifiedBy>Kathrine Ebbe Tertz</cp:lastModifiedBy>
  <dcterms:created xsi:type="dcterms:W3CDTF">2019-10-10T13:10:50Z</dcterms:created>
  <dcterms:modified xsi:type="dcterms:W3CDTF">2020-03-16T12:31:09Z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0x010100A4D4F18824118C478D2ECB64745C1BDA</vt:lpwstr>
  </property>
</Properties>
</file>